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revi\Desktop\"/>
    </mc:Choice>
  </mc:AlternateContent>
  <xr:revisionPtr revIDLastSave="0" documentId="13_ncr:1_{CBAA7793-C512-4630-A540-C578ABF0D737}" xr6:coauthVersionLast="47" xr6:coauthVersionMax="47" xr10:uidLastSave="{00000000-0000-0000-0000-000000000000}"/>
  <bookViews>
    <workbookView xWindow="28680" yWindow="-120" windowWidth="29040" windowHeight="15720" xr2:uid="{00000000-000D-0000-FFFF-FFFF00000000}"/>
  </bookViews>
  <sheets>
    <sheet name="Calculette ACI" sheetId="1" r:id="rId1"/>
    <sheet name="Feuil1" sheetId="4" r:id="rId2"/>
  </sheets>
  <definedNames>
    <definedName name="_xlnm.Print_Area" localSheetId="0">'Calculette ACI'!$A$1:$Q$43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2" i="1" l="1"/>
  <c r="N31" i="1"/>
  <c r="L31" i="1"/>
  <c r="N30" i="1"/>
  <c r="G6" i="1"/>
  <c r="G5" i="1"/>
  <c r="F5" i="1" l="1"/>
  <c r="N10" i="1" l="1"/>
  <c r="N11" i="1"/>
  <c r="B4" i="4"/>
  <c r="B3" i="4"/>
  <c r="N17" i="1"/>
  <c r="N40" i="1"/>
  <c r="N39" i="1"/>
  <c r="N38" i="1"/>
  <c r="N37" i="1"/>
  <c r="N36" i="1"/>
  <c r="N35" i="1"/>
  <c r="N34" i="1"/>
  <c r="N33" i="1"/>
  <c r="N27" i="1"/>
  <c r="N29" i="1"/>
  <c r="B28" i="4"/>
  <c r="K27" i="1"/>
  <c r="N28" i="1"/>
  <c r="N26" i="1"/>
  <c r="N25" i="1"/>
  <c r="N24" i="1"/>
  <c r="N14" i="1"/>
  <c r="N13" i="1"/>
  <c r="N12" i="1"/>
  <c r="N9" i="1" l="1"/>
  <c r="N18" i="1"/>
  <c r="G4" i="1"/>
  <c r="N16" i="1" s="1"/>
  <c r="N15" i="1"/>
  <c r="N20" i="1" l="1"/>
  <c r="N23" i="1"/>
  <c r="N42" i="1" s="1"/>
  <c r="F4" i="1" l="1"/>
  <c r="K3" i="1" l="1"/>
  <c r="K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REVILLION</author>
  </authors>
  <commentList>
    <comment ref="O8" authorId="0" shapeId="0" xr:uid="{00000000-0006-0000-0000-000002000000}">
      <text>
        <r>
          <rPr>
            <b/>
            <sz val="9"/>
            <color indexed="81"/>
            <rFont val="Tahoma"/>
            <family val="2"/>
          </rPr>
          <t>Prérequis pour déclencher la rémunération :
pas d’obligation de leur mise en place effective à la signature du contrat Mais respect obligatoire à la transmission des justificatifs pour déclencher le versement de l'ensemble de la rémunération.</t>
        </r>
        <r>
          <rPr>
            <sz val="9"/>
            <color indexed="81"/>
            <rFont val="Tahoma"/>
            <family val="2"/>
          </rPr>
          <t xml:space="preserve">
</t>
        </r>
      </text>
    </comment>
    <comment ref="O9" authorId="0" shapeId="0" xr:uid="{00000000-0006-0000-0000-000003000000}">
      <text>
        <r>
          <rPr>
            <b/>
            <sz val="9"/>
            <color indexed="81"/>
            <rFont val="Tahoma"/>
            <family val="2"/>
          </rPr>
          <t>Choisissez dans la liste votre situation</t>
        </r>
        <r>
          <rPr>
            <sz val="9"/>
            <color indexed="81"/>
            <rFont val="Tahoma"/>
            <family val="2"/>
          </rPr>
          <t xml:space="preserve">
</t>
        </r>
      </text>
    </comment>
    <comment ref="O12" authorId="0" shapeId="0" xr:uid="{DECE8174-7B79-420D-9221-B9A6871B5EA2}">
      <text>
        <r>
          <rPr>
            <b/>
            <sz val="9"/>
            <color indexed="81"/>
            <rFont val="Tahoma"/>
            <family val="2"/>
          </rPr>
          <t>Organisation pour recevoir chaque jour ouvré les patients ayant besoin de soins non programmés.</t>
        </r>
        <r>
          <rPr>
            <sz val="9"/>
            <color indexed="81"/>
            <rFont val="Tahoma"/>
            <family val="2"/>
          </rPr>
          <t xml:space="preserve">
</t>
        </r>
      </text>
    </comment>
    <comment ref="O13" authorId="0" shapeId="0" xr:uid="{00000000-0006-0000-0000-000004000000}">
      <text>
        <r>
          <rPr>
            <b/>
            <sz val="9"/>
            <color indexed="81"/>
            <rFont val="Tahoma"/>
            <family val="2"/>
          </rPr>
          <t>Fournir une copie du plan de préparation</t>
        </r>
        <r>
          <rPr>
            <sz val="9"/>
            <color indexed="81"/>
            <rFont val="Tahoma"/>
            <family val="2"/>
          </rPr>
          <t xml:space="preserve">
</t>
        </r>
      </text>
    </comment>
    <comment ref="O14" authorId="0" shapeId="0" xr:uid="{00000000-0006-0000-0000-000005000000}">
      <text>
        <r>
          <rPr>
            <b/>
            <sz val="9"/>
            <color indexed="81"/>
            <rFont val="Tahoma"/>
            <family val="2"/>
          </rPr>
          <t>Votre strucure met en place toute action pouvant répondre aux besoins en soins des patients et adaptation de la structure pour faciliter la prise en charge des patients « fragiles », en cas de survenue d’une crise sanitaire grave caractérisée par l’ARS.</t>
        </r>
        <r>
          <rPr>
            <sz val="9"/>
            <color indexed="81"/>
            <rFont val="Tahoma"/>
            <family val="2"/>
          </rPr>
          <t xml:space="preserve">
</t>
        </r>
      </text>
    </comment>
    <comment ref="O15" authorId="0" shapeId="0" xr:uid="{00000000-0006-0000-0000-000006000000}">
      <text>
        <r>
          <rPr>
            <b/>
            <sz val="9"/>
            <color indexed="81"/>
            <rFont val="Tahoma"/>
            <family val="2"/>
          </rPr>
          <t>Par fixe</t>
        </r>
      </text>
    </comment>
    <comment ref="O16" authorId="0" shapeId="0" xr:uid="{00000000-0006-0000-0000-000007000000}">
      <text>
        <r>
          <rPr>
            <b/>
            <sz val="9"/>
            <color indexed="81"/>
            <rFont val="Tahoma"/>
            <family val="2"/>
          </rPr>
          <t xml:space="preserve">- 1 700 points par tranche de 4000 patients en dessous de 8000 Patients
+ 1100 points par tranche de 4000 au dessus de 8000 patients
</t>
        </r>
        <r>
          <rPr>
            <sz val="9"/>
            <color indexed="81"/>
            <rFont val="Tahoma"/>
            <family val="2"/>
          </rPr>
          <t xml:space="preserve">
</t>
        </r>
      </text>
    </comment>
    <comment ref="O17" authorId="0" shapeId="0" xr:uid="{00000000-0006-0000-0000-000008000000}">
      <text>
        <r>
          <rPr>
            <b/>
            <sz val="9"/>
            <color indexed="81"/>
            <rFont val="Tahoma"/>
            <family val="2"/>
          </rPr>
          <t xml:space="preserve">Copie des factures du logiciel, des bons de commande ou des contrats d’abonnement, de maintenance ou de location permettant de vérifier que le système d’information fait bien partie des logiciels labellisés par l’ASIP santé, avec la date d’acquisition de l’équipement. </t>
        </r>
        <r>
          <rPr>
            <sz val="9"/>
            <color indexed="81"/>
            <rFont val="Tahoma"/>
            <family val="2"/>
          </rPr>
          <t xml:space="preserve">
</t>
        </r>
      </text>
    </comment>
    <comment ref="O18" authorId="0" shapeId="0" xr:uid="{00000000-0006-0000-0000-000009000000}">
      <text>
        <r>
          <rPr>
            <b/>
            <sz val="9"/>
            <color indexed="81"/>
            <rFont val="Tahoma"/>
            <family val="2"/>
          </rPr>
          <t>Deux palliers :
- 200 points par poste en dessous de 16 postes
+ 150 points par poste au dessus de 16 postes</t>
        </r>
        <r>
          <rPr>
            <sz val="9"/>
            <color indexed="81"/>
            <rFont val="Tahoma"/>
            <family val="2"/>
          </rPr>
          <t xml:space="preserve">
</t>
        </r>
      </text>
    </comment>
    <comment ref="O20" authorId="0" shapeId="0" xr:uid="{00000000-0006-0000-0000-00000E000000}">
      <text>
        <r>
          <rPr>
            <b/>
            <sz val="9"/>
            <color indexed="81"/>
            <rFont val="Tahoma"/>
            <family val="2"/>
          </rPr>
          <t>Socles : engagement nécessaire de la structure sur ces indicateurs mais une progressivité dans le degré d’atteinte de l’indicateur est possible</t>
        </r>
        <r>
          <rPr>
            <sz val="9"/>
            <color indexed="81"/>
            <rFont val="Tahoma"/>
            <family val="2"/>
          </rPr>
          <t xml:space="preserve">
</t>
        </r>
      </text>
    </comment>
    <comment ref="O23" authorId="0" shapeId="0" xr:uid="{00000000-0006-0000-0000-00000F000000}">
      <text>
        <r>
          <rPr>
            <b/>
            <sz val="9"/>
            <color indexed="81"/>
            <rFont val="Tahoma"/>
            <family val="2"/>
          </rPr>
          <t>Choisir dans la liste</t>
        </r>
        <r>
          <rPr>
            <sz val="9"/>
            <color indexed="81"/>
            <rFont val="Tahoma"/>
            <family val="2"/>
          </rPr>
          <t xml:space="preserve">
La nuance est dans le ET/OU</t>
        </r>
      </text>
    </comment>
    <comment ref="O24" authorId="0" shapeId="0" xr:uid="{00000000-0006-0000-0000-000010000000}">
      <text>
        <r>
          <rPr>
            <sz val="9"/>
            <color indexed="81"/>
            <rFont val="Tahoma"/>
            <family val="2"/>
          </rPr>
          <t xml:space="preserve">2 options. Choisir la fréquence
</t>
        </r>
      </text>
    </comment>
    <comment ref="O25" authorId="0" shapeId="0" xr:uid="{00000000-0006-0000-0000-000012000000}">
      <text>
        <r>
          <rPr>
            <sz val="9"/>
            <color indexed="81"/>
            <rFont val="Tahoma"/>
            <family val="2"/>
          </rPr>
          <t xml:space="preserve">Inscrire le nombre de mission (max 2)
</t>
        </r>
      </text>
    </comment>
    <comment ref="O27" authorId="0" shapeId="0" xr:uid="{00000000-0006-0000-0000-000013000000}">
      <text>
        <r>
          <rPr>
            <sz val="9"/>
            <color indexed="81"/>
            <rFont val="Tahoma"/>
            <family val="2"/>
          </rPr>
          <t xml:space="preserve"> mise en place d’outils ou actions visant à consulter, informer et sensibiliser les usagers sur les services offerts par la structure  OU
Questionnaire validé par la HAS issu des expérimentations PEPS/IPEP via la plateforme EvalSanté</t>
        </r>
      </text>
    </comment>
    <comment ref="O28" authorId="0" shapeId="0" xr:uid="{00000000-0006-0000-0000-000014000000}">
      <text>
        <r>
          <rPr>
            <sz val="9"/>
            <color indexed="81"/>
            <rFont val="Tahoma"/>
            <family val="2"/>
          </rPr>
          <t xml:space="preserve"> mise en place d’outils ou actions visant à la co-construction, le partenariat, la co-décision entre la structure et les usagers.</t>
        </r>
      </text>
    </comment>
    <comment ref="O29" authorId="0" shapeId="0" xr:uid="{00000000-0006-0000-0000-000015000000}">
      <text>
        <r>
          <rPr>
            <sz val="9"/>
            <color indexed="81"/>
            <rFont val="Tahoma"/>
            <family val="2"/>
          </rPr>
          <t xml:space="preserve"> L'ensemble des médecins de la MSP ou 50% s'engagent dans le dispositif SAS ou si la MSP prend en charge toutes les sollicitations du régulateur. 
</t>
        </r>
      </text>
    </comment>
    <comment ref="O30" authorId="0" shapeId="0" xr:uid="{D7E70E7A-9094-43F2-B861-29775EE016AB}">
      <text>
        <r>
          <rPr>
            <b/>
            <sz val="9"/>
            <color indexed="81"/>
            <rFont val="Tahoma"/>
            <family val="2"/>
          </rPr>
          <t>Inscrire le nombre.
Maximum 8</t>
        </r>
      </text>
    </comment>
    <comment ref="O31" authorId="0" shapeId="0" xr:uid="{06680655-106B-4647-9CC3-1418D4CACDDE}">
      <text>
        <r>
          <rPr>
            <b/>
            <sz val="9"/>
            <color indexed="81"/>
            <rFont val="Tahoma"/>
            <family val="2"/>
          </rPr>
          <t xml:space="preserve">Inscrire le % de dossier. 
Taux plein : 5%
(*) Estimation sur les données nationales : &gt;  75 ans :  9,3% de la population et 50% sont en ALD. Population générale : 16,4% d'ALD
A adapter selon votre territoire
</t>
        </r>
        <r>
          <rPr>
            <sz val="9"/>
            <color indexed="81"/>
            <rFont val="Tahoma"/>
            <family val="2"/>
          </rPr>
          <t xml:space="preserve">
</t>
        </r>
      </text>
    </comment>
    <comment ref="O32" authorId="0" shapeId="0" xr:uid="{5FE599D9-C750-4B2C-96E0-7F906DAD0F28}">
      <text>
        <r>
          <rPr>
            <sz val="9"/>
            <color indexed="81"/>
            <rFont val="Tahoma"/>
            <family val="2"/>
          </rPr>
          <t xml:space="preserve">
Si "oui" +40 points en plus par protocole + 200 points variables pour les concertations pluriprofessionnelles</t>
        </r>
      </text>
    </comment>
    <comment ref="O33" authorId="0" shapeId="0" xr:uid="{00000000-0006-0000-0000-000016000000}">
      <text>
        <r>
          <rPr>
            <sz val="9"/>
            <color indexed="81"/>
            <rFont val="Tahoma"/>
            <family val="2"/>
          </rPr>
          <t>225 points par stage à partir de 2.
Choisir le nombre</t>
        </r>
      </text>
    </comment>
    <comment ref="O35" authorId="0" shapeId="0" xr:uid="{00000000-0006-0000-0000-000017000000}">
      <text>
        <r>
          <rPr>
            <sz val="9"/>
            <color indexed="81"/>
            <rFont val="Tahoma"/>
            <family val="2"/>
          </rPr>
          <t xml:space="preserve"> Mise en place d'une procédure définissant la transmission des données de santé nécessaires à la prise en charge des patients vers des professionnels de santé extérieurs, des services et établissements sanitaires, des structures et services médico-sociaux, des intervenants sociaux dans le respect de la réglementation.
Il s'agit notamment du VMS complété par les informations, recueillies par les autres professionnels de santé de la MSP, nécessaires à la continuité de la prise en charge.
</t>
        </r>
      </text>
    </comment>
    <comment ref="O36" authorId="0" shapeId="0" xr:uid="{00000000-0006-0000-0000-000018000000}">
      <text>
        <r>
          <rPr>
            <sz val="9"/>
            <color indexed="81"/>
            <rFont val="Tahoma"/>
            <family val="2"/>
          </rPr>
          <t xml:space="preserve">Tout document attestant de l'état d'avancement de la démarche qualité: Désignation d'un référent qualité de la démarche, état des lieux des forces et faiblesses de la dynamique pluriprofessionnelle et de la prise en charge des patients, grille d'autoévaluation remplie et synthèse des résultats, etc. 
</t>
        </r>
      </text>
    </comment>
    <comment ref="O39" authorId="0" shapeId="0" xr:uid="{6A9A5B88-CCF4-4838-B924-7A79F0AF09F4}">
      <text>
        <r>
          <rPr>
            <b/>
            <sz val="9"/>
            <color indexed="81"/>
            <rFont val="Tahoma"/>
            <family val="2"/>
          </rPr>
          <t xml:space="preserve">Volet 1 Niveau 1
- </t>
        </r>
        <r>
          <rPr>
            <sz val="9"/>
            <color indexed="81"/>
            <rFont val="Tahoma"/>
            <family val="2"/>
          </rPr>
          <t xml:space="preserve">Réaliser une évaluation des principaux postes d'émissions de C02 de la structure et identifier les actions prioritaires
- Sensibiliser les PS aux enjeux de transition écologique du secteur de la santé
- Avoir une politique de gestion des déchets
- Mettre en oeuvre au moins une action expérimentation "soins éco-responsables ou lutte contre le gaspillage"
</t>
        </r>
        <r>
          <rPr>
            <b/>
            <sz val="9"/>
            <color indexed="81"/>
            <rFont val="Tahoma"/>
            <family val="2"/>
          </rPr>
          <t>Volet 2 Niveau 1</t>
        </r>
        <r>
          <rPr>
            <sz val="9"/>
            <color indexed="81"/>
            <rFont val="Tahoma"/>
            <family val="2"/>
          </rPr>
          <t xml:space="preserve">
- Sensibiliser les PS aux enjeux de la santé environnementale
- Avoir une politique d'achat et sélection des produits dont la compo et les matières premières sont connues (sans CMR et perturbateurs endocriniens)
- Conseil et affichage à destination des patients sur les liens environnement et santé
</t>
        </r>
        <r>
          <rPr>
            <b/>
            <sz val="9"/>
            <color indexed="81"/>
            <rFont val="Tahoma"/>
            <family val="2"/>
          </rPr>
          <t xml:space="preserve">
</t>
        </r>
        <r>
          <rPr>
            <sz val="9"/>
            <color indexed="81"/>
            <rFont val="Tahoma"/>
            <family val="2"/>
          </rPr>
          <t xml:space="preserve">
</t>
        </r>
      </text>
    </comment>
    <comment ref="O40" authorId="0" shapeId="0" xr:uid="{5DF6BE4E-A501-4160-B496-77B0E4CB4E50}">
      <text>
        <r>
          <rPr>
            <b/>
            <sz val="9"/>
            <color indexed="81"/>
            <rFont val="Tahoma"/>
            <family val="2"/>
          </rPr>
          <t xml:space="preserve">Volet 1 Niveau 2
</t>
        </r>
        <r>
          <rPr>
            <sz val="9"/>
            <color indexed="81"/>
            <rFont val="Tahoma"/>
            <family val="2"/>
          </rPr>
          <t xml:space="preserve">- Diminution des transports en réalisant des prescription de transports partagés
- 1 protocole pluripro sur le thème transversal "soins éco-responsables"
</t>
        </r>
        <r>
          <rPr>
            <b/>
            <sz val="9"/>
            <color indexed="81"/>
            <rFont val="Tahoma"/>
            <family val="2"/>
          </rPr>
          <t>Volet 2 Niveau 2</t>
        </r>
        <r>
          <rPr>
            <sz val="9"/>
            <color indexed="81"/>
            <rFont val="Tahoma"/>
            <family val="2"/>
          </rPr>
          <t xml:space="preserve">
- Actions de prévention sur des déterminants de santé environnementaux
-Former les PS aux enjeux de santé environnementale
- Former une majorité des PS aux enjeux de transition écologique dans la santé + les nouveaux arrivants</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<sst xmlns="http://schemas.openxmlformats.org/spreadsheetml/2006/main" count="104" uniqueCount="68">
  <si>
    <t>Ne remplir que les cases de cette couleur</t>
  </si>
  <si>
    <t>Mise à jour le 09/06/2026</t>
  </si>
  <si>
    <t>x</t>
  </si>
  <si>
    <t>Base</t>
  </si>
  <si>
    <t>Réel</t>
  </si>
  <si>
    <t>majoration</t>
  </si>
  <si>
    <t>Valeur attendue ;</t>
  </si>
  <si>
    <t>Part Fixe</t>
  </si>
  <si>
    <t>Patientèle</t>
  </si>
  <si>
    <t xml:space="preserve">Avance : </t>
  </si>
  <si>
    <t>Part Variable de la patientele</t>
  </si>
  <si>
    <t>% C2S</t>
  </si>
  <si>
    <t>% AME</t>
  </si>
  <si>
    <t>SOCLE PREREQUIS</t>
  </si>
  <si>
    <t>Actions</t>
  </si>
  <si>
    <t>Montant</t>
  </si>
  <si>
    <t>?</t>
  </si>
  <si>
    <t>Accés aux soins</t>
  </si>
  <si>
    <t>Intégralité de l’amplitude 8h-20h (soit 12 h)</t>
  </si>
  <si>
    <t>&lt;=== Choisir dans la liste</t>
  </si>
  <si>
    <t xml:space="preserve"> - Fermeture le samedi matin</t>
  </si>
  <si>
    <t xml:space="preserve"> - Fermeture maximum pendant 3 semaines pendant les congés scolaires dans l’année</t>
  </si>
  <si>
    <r>
      <t xml:space="preserve"> - Organisation de soins non programmés</t>
    </r>
    <r>
      <rPr>
        <b/>
        <sz val="10"/>
        <color rgb="FFFF0000"/>
        <rFont val="Calibri"/>
        <family val="2"/>
        <scheme val="minor"/>
      </rPr>
      <t xml:space="preserve"> (Nouveau)</t>
    </r>
  </si>
  <si>
    <t xml:space="preserve">  Réponse aux crises sanitaires graves</t>
  </si>
  <si>
    <t xml:space="preserve">  Prise en charge des patients fragiles en cas de crise</t>
  </si>
  <si>
    <t xml:space="preserve">Travail en équipe pluri-professionnelle </t>
  </si>
  <si>
    <t xml:space="preserve"> Fonction de coordination organisée avec un responsable identifié (Fixe)</t>
  </si>
  <si>
    <t xml:space="preserve"> Fonction de coordination organisée avec un responsable identifié (part variable) par tranche de 4000 patients</t>
  </si>
  <si>
    <t xml:space="preserve">Système d’information </t>
  </si>
  <si>
    <t>Système d'inforlation labélisé</t>
  </si>
  <si>
    <r>
      <rPr>
        <b/>
        <sz val="10"/>
        <rFont val="Calibri"/>
        <family val="2"/>
        <scheme val="minor"/>
      </rPr>
      <t>Nombre</t>
    </r>
    <r>
      <rPr>
        <sz val="10"/>
        <rFont val="Calibri"/>
        <family val="2"/>
        <scheme val="minor"/>
      </rPr>
      <t xml:space="preserve"> de professionnels de santé équipés du logiciel</t>
    </r>
  </si>
  <si>
    <t>Total partie socle</t>
  </si>
  <si>
    <t>OPTION</t>
  </si>
  <si>
    <t>&gt; 1 profession médicale autre que MG ,SF, Dentiste Ou Pharmacien ET &gt; 3 professions paramedicales</t>
  </si>
  <si>
    <t>Organisation de consultations de second recours par des professionnels extérieurs à la structure</t>
  </si>
  <si>
    <r>
      <t>Missions de santé publique répondant à des spécificités territoriales et aux objectifs du projet régional de santé (PRS)</t>
    </r>
    <r>
      <rPr>
        <sz val="10"/>
        <color rgb="FFFF0000"/>
        <rFont val="Calibri"/>
        <family val="2"/>
        <scheme val="minor"/>
      </rPr>
      <t xml:space="preserve">  </t>
    </r>
    <r>
      <rPr>
        <sz val="10"/>
        <rFont val="Calibri"/>
        <family val="2"/>
        <scheme val="minor"/>
      </rPr>
      <t>2 = Taux plein</t>
    </r>
  </si>
  <si>
    <t>Votre équipe intègre une IPA pour ces missions de santé publique</t>
  </si>
  <si>
    <r>
      <rPr>
        <b/>
        <sz val="10"/>
        <color theme="1"/>
        <rFont val="Calibri"/>
        <family val="2"/>
        <scheme val="minor"/>
      </rPr>
      <t xml:space="preserve">Implication des usagers niveau 2 </t>
    </r>
    <r>
      <rPr>
        <sz val="10"/>
        <color theme="1"/>
        <rFont val="Calibri"/>
        <family val="2"/>
        <scheme val="minor"/>
      </rPr>
      <t xml:space="preserve"> dans la co construction et la codécision</t>
    </r>
  </si>
  <si>
    <t>% de médecins impliqués dans le SAS</t>
  </si>
  <si>
    <r>
      <t>Elaboration de protocoles pluri-professionnels pour les pathologies cibles (</t>
    </r>
    <r>
      <rPr>
        <b/>
        <sz val="10"/>
        <color theme="1"/>
        <rFont val="Calibri"/>
        <family val="2"/>
        <scheme val="minor"/>
      </rPr>
      <t>nombre de protocoles</t>
    </r>
    <r>
      <rPr>
        <sz val="10"/>
        <color theme="1"/>
        <rFont val="Calibri"/>
        <family val="2"/>
        <scheme val="minor"/>
      </rPr>
      <t>)</t>
    </r>
  </si>
  <si>
    <t>Concertation formalisée  entre médecins et autres professionnels de santé, Compte rendu intégré dans dossier informatisé du patient MT (et enfants) en ALD ou âgés de + de 75 ans sans ALD (Taux plein: 5%)</t>
  </si>
  <si>
    <t>Population estimé :(*)</t>
  </si>
  <si>
    <t xml:space="preserve">Votre équipe intègre une IPA </t>
  </si>
  <si>
    <t xml:space="preserve">Formation des jeunes professionnels de santé (Min 2 stages/ an Max 4) </t>
  </si>
  <si>
    <r>
      <t>Accueil d'étudiant en service sanitaire (3 par an)</t>
    </r>
    <r>
      <rPr>
        <b/>
        <sz val="10"/>
        <color rgb="FFFF0000"/>
        <rFont val="Calibri"/>
        <family val="2"/>
        <scheme val="minor"/>
      </rPr>
      <t xml:space="preserve"> (Nouveau)</t>
    </r>
  </si>
  <si>
    <t>Transmission des données de santé vers les professionnels de santé extérieurs.</t>
  </si>
  <si>
    <t xml:space="preserve">Démarche qualité  Niveau 1:  le diagnostic de maturité </t>
  </si>
  <si>
    <t xml:space="preserve">Démarche qualité  Niveau 2  : la planification et mise en oeuvre d’une démarche d’amélioration de la qualité </t>
  </si>
  <si>
    <t xml:space="preserve">Démarche qualité  Niveau 3 : la production de Résultats et les conclusions </t>
  </si>
  <si>
    <r>
      <t xml:space="preserve">Santé environnementale Niveau 1 : 3 actions de niveau 1 sur les deux volets  </t>
    </r>
    <r>
      <rPr>
        <b/>
        <sz val="10"/>
        <color rgb="FFFF0000"/>
        <rFont val="Calibri"/>
        <family val="2"/>
        <scheme val="minor"/>
      </rPr>
      <t>(Nouveau)</t>
    </r>
  </si>
  <si>
    <r>
      <t>Santé environnementale Niveau 2 : + 2 action de niveau 2 sur les 2 volets</t>
    </r>
    <r>
      <rPr>
        <b/>
        <sz val="10"/>
        <color rgb="FFFF0000"/>
        <rFont val="Calibri"/>
        <family val="2"/>
        <scheme val="minor"/>
      </rPr>
      <t xml:space="preserve"> (Nouveau)</t>
    </r>
  </si>
  <si>
    <t>Total partie optionnelle</t>
  </si>
  <si>
    <t xml:space="preserve"> ===&lt; Amplitudes horaires, choisir dans la liste &gt;====</t>
  </si>
  <si>
    <t xml:space="preserve"> </t>
  </si>
  <si>
    <t>Amplitude horaire d’ouverture entre 10h et 12h par jour en semaine et le samedi matin</t>
  </si>
  <si>
    <t>Amplitude horaire d’ouverture entre 8h et 10h par jour et le samedi matin</t>
  </si>
  <si>
    <t>fermeture le samedi matin</t>
  </si>
  <si>
    <t>fermeture maximum pendant 3 semaines pendant les congés scolaires dans l’année : -20 pts</t>
  </si>
  <si>
    <t>Pas de  profession médicale autre que MG ,SF, Dentiste ni Pharmacien et &lt; 4 professions paramedicales</t>
  </si>
  <si>
    <r>
      <t xml:space="preserve"> &gt; 1 profession médicale autre que MG ,SF, Dentiste </t>
    </r>
    <r>
      <rPr>
        <b/>
        <sz val="11"/>
        <color theme="1"/>
        <rFont val="Calibri"/>
        <family val="2"/>
        <scheme val="minor"/>
      </rPr>
      <t>OU</t>
    </r>
    <r>
      <rPr>
        <sz val="11"/>
        <color theme="1"/>
        <rFont val="Calibri"/>
        <family val="2"/>
        <scheme val="minor"/>
      </rPr>
      <t xml:space="preserve"> Pharmacien OU &gt; 3 professions paramedicales</t>
    </r>
  </si>
  <si>
    <t>Coordination fixe</t>
  </si>
  <si>
    <t>Première tranche</t>
  </si>
  <si>
    <t>Deuxième tranche</t>
  </si>
  <si>
    <t>Poste informatique fixe</t>
  </si>
  <si>
    <t>Pas d'action en démarche qualité</t>
  </si>
  <si>
    <t>Pas d'implication des usagers Niveau 1</t>
  </si>
  <si>
    <r>
      <rPr>
        <b/>
        <sz val="11"/>
        <color theme="1"/>
        <rFont val="Calibri"/>
        <family val="2"/>
        <scheme val="minor"/>
      </rPr>
      <t>Implication des usagers Niveau 1 :</t>
    </r>
    <r>
      <rPr>
        <sz val="11"/>
        <color theme="1"/>
        <rFont val="Calibri"/>
        <family val="2"/>
        <scheme val="minor"/>
      </rPr>
      <t xml:space="preserve"> Outils d'information et de recueil de satisfaction</t>
    </r>
  </si>
  <si>
    <r>
      <rPr>
        <b/>
        <sz val="11"/>
        <color theme="1"/>
        <rFont val="Calibri"/>
        <family val="2"/>
        <scheme val="minor"/>
      </rPr>
      <t>Implication des usagers Niveau 1 :</t>
    </r>
    <r>
      <rPr>
        <sz val="11"/>
        <color theme="1"/>
        <rFont val="Calibri"/>
        <family val="2"/>
        <scheme val="minor"/>
      </rPr>
      <t>Questionnaire EvalSanté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</si>
</sst>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
  </numFmts>
  <fonts count="25"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0"/>
      <name val="MS Sans Serif"/>
      <family val="2"/>
    </font>
    <font>
      <b/>
      <sz val="11"/>
      <color theme="0"/>
      <name val="Calibri"/>
      <family val="2"/>
      <scheme val="minor"/>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b/>
      <sz val="10"/>
      <color theme="0"/>
      <name val="Calibri"/>
      <family val="2"/>
      <scheme val="minor"/>
    </font>
    <font>
      <b/>
      <sz val="10"/>
      <color rgb="FF0070C0"/>
      <name val="Calibri"/>
      <family val="2"/>
      <scheme val="minor"/>
    </font>
    <font>
      <sz val="10"/>
      <name val="Calibri"/>
      <family val="2"/>
      <scheme val="minor"/>
    </font>
    <font>
      <sz val="10"/>
      <color rgb="FFFF0000"/>
      <name val="Calibri"/>
      <family val="2"/>
      <scheme val="minor"/>
    </font>
    <font>
      <b/>
      <sz val="10"/>
      <color theme="4"/>
      <name val="Calibri"/>
      <family val="2"/>
      <scheme val="minor"/>
    </font>
    <font>
      <b/>
      <sz val="10"/>
      <color rgb="FFFF0000"/>
      <name val="Calibri"/>
      <family val="2"/>
      <scheme val="minor"/>
    </font>
    <font>
      <b/>
      <sz val="10"/>
      <color theme="4" tint="-0.249977111117893"/>
      <name val="Calibri"/>
      <family val="2"/>
      <scheme val="minor"/>
    </font>
    <font>
      <b/>
      <sz val="10"/>
      <name val="Calibri"/>
      <family val="2"/>
      <scheme val="minor"/>
    </font>
    <font>
      <b/>
      <sz val="11"/>
      <name val="Calibri"/>
      <family val="2"/>
      <scheme val="minor"/>
    </font>
    <font>
      <b/>
      <sz val="12"/>
      <color theme="1"/>
      <name val="Calibri"/>
      <family val="2"/>
      <scheme val="minor"/>
    </font>
    <font>
      <b/>
      <sz val="12"/>
      <name val="Calibri"/>
      <family val="2"/>
      <scheme val="minor"/>
    </font>
    <font>
      <b/>
      <sz val="14"/>
      <name val="Calibri"/>
      <family val="2"/>
      <scheme val="minor"/>
    </font>
    <font>
      <b/>
      <i/>
      <sz val="14"/>
      <name val="Calibri"/>
      <family val="2"/>
      <scheme val="minor"/>
    </font>
    <font>
      <b/>
      <sz val="12"/>
      <color theme="8" tint="0.39997558519241921"/>
      <name val="Calibri"/>
      <family val="2"/>
      <scheme val="minor"/>
    </font>
    <font>
      <sz val="10"/>
      <color theme="8" tint="0.39997558519241921"/>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9" tint="0.59999389629810485"/>
        <bgColor indexed="64"/>
      </patternFill>
    </fill>
  </fills>
  <borders count="5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rgb="FFFF0000"/>
      </left>
      <right/>
      <top style="medium">
        <color indexed="64"/>
      </top>
      <bottom style="medium">
        <color rgb="FFFF0000"/>
      </bottom>
      <diagonal/>
    </border>
    <border>
      <left/>
      <right style="medium">
        <color rgb="FFFF0000"/>
      </right>
      <top style="medium">
        <color indexed="64"/>
      </top>
      <bottom style="medium">
        <color rgb="FFFF0000"/>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rgb="FFFF0000"/>
      </bottom>
      <diagonal/>
    </border>
    <border>
      <left/>
      <right style="thin">
        <color indexed="64"/>
      </right>
      <top style="medium">
        <color indexed="64"/>
      </top>
      <bottom style="medium">
        <color rgb="FFFF0000"/>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9" fontId="1" fillId="0" borderId="0" applyFont="0" applyFill="0" applyBorder="0" applyAlignment="0" applyProtection="0"/>
    <xf numFmtId="0" fontId="4" fillId="0" borderId="0"/>
    <xf numFmtId="9" fontId="4" fillId="0" borderId="0" applyFont="0" applyFill="0" applyBorder="0" applyAlignment="0" applyProtection="0"/>
  </cellStyleXfs>
  <cellXfs count="177">
    <xf numFmtId="0" fontId="0" fillId="0" borderId="0" xfId="0"/>
    <xf numFmtId="0" fontId="7" fillId="7" borderId="12" xfId="0" applyFont="1" applyFill="1" applyBorder="1" applyProtection="1">
      <protection locked="0"/>
    </xf>
    <xf numFmtId="0" fontId="7" fillId="7" borderId="15" xfId="0" applyFont="1" applyFill="1" applyBorder="1" applyProtection="1">
      <protection locked="0"/>
    </xf>
    <xf numFmtId="0" fontId="7" fillId="7" borderId="13" xfId="0" applyFont="1" applyFill="1" applyBorder="1" applyProtection="1">
      <protection locked="0"/>
    </xf>
    <xf numFmtId="0" fontId="7" fillId="0" borderId="0" xfId="0" applyFont="1" applyProtection="1">
      <protection locked="0"/>
    </xf>
    <xf numFmtId="0" fontId="7" fillId="0" borderId="6" xfId="0" applyFont="1" applyBorder="1" applyProtection="1">
      <protection locked="0"/>
    </xf>
    <xf numFmtId="0" fontId="7" fillId="0" borderId="5" xfId="0" applyFont="1" applyBorder="1" applyProtection="1">
      <protection locked="0"/>
    </xf>
    <xf numFmtId="0" fontId="8" fillId="0" borderId="0" xfId="0" applyFont="1" applyProtection="1">
      <protection locked="0"/>
    </xf>
    <xf numFmtId="0" fontId="9" fillId="5" borderId="1" xfId="0" applyFont="1" applyFill="1" applyBorder="1" applyAlignment="1" applyProtection="1">
      <alignment horizontal="center"/>
      <protection locked="0"/>
    </xf>
    <xf numFmtId="0" fontId="9" fillId="0" borderId="4" xfId="0" applyFont="1" applyBorder="1" applyAlignment="1" applyProtection="1">
      <alignment horizontal="center" vertical="center"/>
      <protection locked="0"/>
    </xf>
    <xf numFmtId="0" fontId="9" fillId="4" borderId="1" xfId="0" applyFont="1" applyFill="1" applyBorder="1" applyProtection="1">
      <protection locked="0"/>
    </xf>
    <xf numFmtId="0" fontId="9" fillId="0" borderId="5" xfId="0" applyFont="1" applyBorder="1" applyProtection="1">
      <protection locked="0"/>
    </xf>
    <xf numFmtId="0" fontId="7" fillId="2" borderId="0" xfId="0" applyFont="1" applyFill="1" applyProtection="1">
      <protection locked="0"/>
    </xf>
    <xf numFmtId="0" fontId="7" fillId="4" borderId="0" xfId="0" applyFont="1" applyFill="1" applyProtection="1">
      <protection locked="0"/>
    </xf>
    <xf numFmtId="3" fontId="7" fillId="0" borderId="0" xfId="0" applyNumberFormat="1" applyFont="1" applyProtection="1">
      <protection locked="0"/>
    </xf>
    <xf numFmtId="0" fontId="13" fillId="0" borderId="0" xfId="0" applyFont="1" applyAlignment="1" applyProtection="1">
      <alignment wrapText="1"/>
      <protection locked="0"/>
    </xf>
    <xf numFmtId="0" fontId="14" fillId="0" borderId="5" xfId="0" applyFont="1" applyBorder="1" applyAlignment="1" applyProtection="1">
      <alignment horizontal="left" wrapText="1"/>
      <protection locked="0"/>
    </xf>
    <xf numFmtId="3" fontId="13" fillId="0" borderId="0" xfId="0" applyNumberFormat="1" applyFont="1" applyAlignment="1" applyProtection="1">
      <alignment wrapText="1"/>
      <protection locked="0"/>
    </xf>
    <xf numFmtId="0" fontId="9" fillId="0" borderId="5" xfId="0" applyFont="1" applyBorder="1" applyAlignment="1" applyProtection="1">
      <alignment wrapText="1"/>
      <protection locked="0"/>
    </xf>
    <xf numFmtId="0" fontId="13" fillId="0" borderId="5" xfId="0" applyFont="1" applyBorder="1" applyAlignment="1" applyProtection="1">
      <alignment wrapText="1"/>
      <protection locked="0"/>
    </xf>
    <xf numFmtId="0" fontId="7" fillId="9" borderId="6" xfId="0" applyFont="1" applyFill="1" applyBorder="1" applyProtection="1">
      <protection locked="0"/>
    </xf>
    <xf numFmtId="0" fontId="13" fillId="9" borderId="0" xfId="0" applyFont="1" applyFill="1" applyAlignment="1" applyProtection="1">
      <alignment wrapText="1"/>
      <protection locked="0"/>
    </xf>
    <xf numFmtId="0" fontId="13" fillId="9" borderId="5" xfId="0" applyFont="1" applyFill="1" applyBorder="1" applyAlignment="1" applyProtection="1">
      <alignment wrapText="1"/>
      <protection locked="0"/>
    </xf>
    <xf numFmtId="0" fontId="7" fillId="9" borderId="0" xfId="0" applyFont="1" applyFill="1" applyProtection="1">
      <protection locked="0"/>
    </xf>
    <xf numFmtId="0" fontId="13" fillId="0" borderId="0" xfId="0" applyFont="1" applyAlignment="1" applyProtection="1">
      <alignment vertical="center" wrapText="1"/>
      <protection locked="0"/>
    </xf>
    <xf numFmtId="0" fontId="13" fillId="0" borderId="5" xfId="0" applyFont="1" applyBorder="1" applyAlignment="1" applyProtection="1">
      <alignment vertical="center" wrapText="1"/>
      <protection locked="0"/>
    </xf>
    <xf numFmtId="0" fontId="7" fillId="0" borderId="9" xfId="0" applyFont="1" applyBorder="1" applyProtection="1">
      <protection locked="0"/>
    </xf>
    <xf numFmtId="0" fontId="7" fillId="0" borderId="14" xfId="0" applyFont="1" applyBorder="1" applyProtection="1">
      <protection locked="0"/>
    </xf>
    <xf numFmtId="0" fontId="7" fillId="0" borderId="8" xfId="0" applyFont="1" applyBorder="1" applyProtection="1">
      <protection locked="0"/>
    </xf>
    <xf numFmtId="0" fontId="10" fillId="3" borderId="4" xfId="0" applyFont="1" applyFill="1" applyBorder="1" applyProtection="1">
      <protection locked="0"/>
    </xf>
    <xf numFmtId="3" fontId="0" fillId="0" borderId="0" xfId="0" applyNumberFormat="1"/>
    <xf numFmtId="0" fontId="0" fillId="12" borderId="0" xfId="0" applyFill="1"/>
    <xf numFmtId="0" fontId="6" fillId="10" borderId="22" xfId="0" applyFont="1" applyFill="1" applyBorder="1" applyAlignment="1" applyProtection="1">
      <alignment horizontal="center" vertical="center"/>
      <protection locked="0"/>
    </xf>
    <xf numFmtId="0" fontId="10" fillId="3" borderId="4" xfId="0" applyFont="1" applyFill="1" applyBorder="1" applyAlignment="1" applyProtection="1">
      <alignment vertical="center"/>
      <protection locked="0"/>
    </xf>
    <xf numFmtId="0" fontId="10" fillId="3" borderId="10" xfId="0" applyFont="1" applyFill="1" applyBorder="1" applyProtection="1">
      <protection locked="0"/>
    </xf>
    <xf numFmtId="0" fontId="10" fillId="3" borderId="1" xfId="0" applyFont="1" applyFill="1" applyBorder="1" applyAlignment="1" applyProtection="1">
      <alignment horizontal="center"/>
      <protection locked="0"/>
    </xf>
    <xf numFmtId="0" fontId="6" fillId="10" borderId="23" xfId="0" applyFont="1" applyFill="1" applyBorder="1" applyAlignment="1" applyProtection="1">
      <alignment horizontal="center" vertical="center"/>
      <protection locked="0"/>
    </xf>
    <xf numFmtId="0" fontId="10" fillId="3" borderId="10" xfId="0" applyFont="1" applyFill="1" applyBorder="1" applyAlignment="1" applyProtection="1">
      <alignment vertical="center"/>
      <protection locked="0"/>
    </xf>
    <xf numFmtId="0" fontId="5" fillId="3" borderId="1" xfId="0" applyFont="1" applyFill="1" applyBorder="1" applyAlignment="1" applyProtection="1">
      <alignment horizontal="center" vertical="center"/>
      <protection locked="0"/>
    </xf>
    <xf numFmtId="0" fontId="6" fillId="10" borderId="25" xfId="0" applyFont="1" applyFill="1" applyBorder="1" applyAlignment="1" applyProtection="1">
      <alignment horizontal="center" vertical="center"/>
      <protection locked="0"/>
    </xf>
    <xf numFmtId="0" fontId="17" fillId="10" borderId="25" xfId="0" applyFont="1" applyFill="1" applyBorder="1" applyAlignment="1" applyProtection="1">
      <alignment horizontal="center" vertical="center" wrapText="1"/>
      <protection locked="0"/>
    </xf>
    <xf numFmtId="0" fontId="6" fillId="8" borderId="10" xfId="0" applyFont="1" applyFill="1" applyBorder="1" applyProtection="1">
      <protection locked="0"/>
    </xf>
    <xf numFmtId="0" fontId="9" fillId="0" borderId="0" xfId="0" applyFont="1" applyProtection="1">
      <protection locked="0"/>
    </xf>
    <xf numFmtId="0" fontId="14" fillId="0" borderId="5" xfId="0" applyFont="1" applyBorder="1" applyAlignment="1" applyProtection="1">
      <alignment horizontal="left" vertical="top" wrapText="1"/>
      <protection locked="0"/>
    </xf>
    <xf numFmtId="0" fontId="14" fillId="0" borderId="5" xfId="0" applyFont="1" applyBorder="1" applyAlignment="1" applyProtection="1">
      <alignment horizontal="left" vertical="top"/>
      <protection locked="0"/>
    </xf>
    <xf numFmtId="0" fontId="19" fillId="0" borderId="0" xfId="0" applyFont="1" applyAlignment="1" applyProtection="1">
      <alignment horizontal="center" vertical="center"/>
      <protection locked="0"/>
    </xf>
    <xf numFmtId="0" fontId="6" fillId="10" borderId="26" xfId="0" applyFont="1" applyFill="1" applyBorder="1" applyAlignment="1" applyProtection="1">
      <alignment horizontal="center" vertical="center"/>
      <protection locked="0"/>
    </xf>
    <xf numFmtId="0" fontId="6" fillId="9" borderId="14" xfId="0" applyFont="1" applyFill="1" applyBorder="1" applyAlignment="1" applyProtection="1">
      <alignment horizontal="center" vertical="center"/>
      <protection locked="0"/>
    </xf>
    <xf numFmtId="3" fontId="17" fillId="6" borderId="23" xfId="0" applyNumberFormat="1" applyFont="1" applyFill="1" applyBorder="1" applyAlignment="1" applyProtection="1">
      <alignment vertical="center"/>
      <protection locked="0"/>
    </xf>
    <xf numFmtId="0" fontId="7" fillId="9" borderId="14" xfId="0" applyFont="1" applyFill="1" applyBorder="1" applyAlignment="1" applyProtection="1">
      <alignment vertical="center"/>
      <protection locked="0"/>
    </xf>
    <xf numFmtId="0" fontId="7" fillId="9" borderId="14" xfId="0" applyFont="1" applyFill="1" applyBorder="1" applyAlignment="1" applyProtection="1">
      <alignment horizontal="left" vertical="center" wrapText="1"/>
      <protection locked="0"/>
    </xf>
    <xf numFmtId="9" fontId="7" fillId="9" borderId="14" xfId="0" applyNumberFormat="1" applyFont="1" applyFill="1" applyBorder="1" applyAlignment="1" applyProtection="1">
      <alignment horizontal="center" vertical="center" wrapText="1"/>
      <protection locked="0"/>
    </xf>
    <xf numFmtId="0" fontId="17" fillId="10" borderId="23" xfId="0" applyFont="1" applyFill="1" applyBorder="1" applyAlignment="1" applyProtection="1">
      <alignment horizontal="center" vertical="center" wrapText="1"/>
      <protection locked="0"/>
    </xf>
    <xf numFmtId="0" fontId="0" fillId="0" borderId="0" xfId="0" applyAlignment="1">
      <alignment horizontal="left" indent="2"/>
    </xf>
    <xf numFmtId="0" fontId="9" fillId="7" borderId="15" xfId="0" applyFont="1" applyFill="1" applyBorder="1" applyProtection="1">
      <protection locked="0"/>
    </xf>
    <xf numFmtId="0" fontId="9" fillId="4" borderId="22" xfId="0" applyFont="1" applyFill="1" applyBorder="1" applyAlignment="1" applyProtection="1">
      <alignment horizontal="center" vertical="center" wrapText="1"/>
      <protection locked="0"/>
    </xf>
    <xf numFmtId="0" fontId="7" fillId="2" borderId="25" xfId="0" applyFont="1" applyFill="1" applyBorder="1" applyAlignment="1" applyProtection="1">
      <alignment vertical="center"/>
      <protection locked="0"/>
    </xf>
    <xf numFmtId="0" fontId="10" fillId="0" borderId="0" xfId="0" applyFont="1" applyProtection="1">
      <protection locked="0"/>
    </xf>
    <xf numFmtId="0" fontId="10" fillId="0" borderId="0" xfId="0" applyFont="1" applyAlignment="1" applyProtection="1">
      <alignment horizontal="center"/>
      <protection locked="0"/>
    </xf>
    <xf numFmtId="0" fontId="22" fillId="10" borderId="34" xfId="0" applyFont="1" applyFill="1" applyBorder="1" applyProtection="1">
      <protection locked="0"/>
    </xf>
    <xf numFmtId="0" fontId="12" fillId="10" borderId="35" xfId="0" applyFont="1" applyFill="1" applyBorder="1" applyProtection="1">
      <protection locked="0"/>
    </xf>
    <xf numFmtId="0" fontId="0" fillId="0" borderId="0" xfId="0" applyAlignment="1">
      <alignment wrapText="1"/>
    </xf>
    <xf numFmtId="9" fontId="0" fillId="0" borderId="0" xfId="0" applyNumberFormat="1"/>
    <xf numFmtId="9" fontId="0" fillId="0" borderId="0" xfId="0" applyNumberFormat="1" applyAlignment="1">
      <alignment wrapText="1"/>
    </xf>
    <xf numFmtId="0" fontId="23" fillId="0" borderId="0" xfId="0" applyFont="1" applyAlignment="1" applyProtection="1">
      <alignment horizontal="center" vertical="center"/>
      <protection locked="0"/>
    </xf>
    <xf numFmtId="0" fontId="24" fillId="9" borderId="0" xfId="0" applyFont="1" applyFill="1" applyAlignment="1" applyProtection="1">
      <alignment wrapText="1"/>
      <protection locked="0"/>
    </xf>
    <xf numFmtId="0" fontId="24" fillId="0" borderId="0" xfId="0" applyFont="1" applyProtection="1">
      <protection locked="0"/>
    </xf>
    <xf numFmtId="9" fontId="18" fillId="10" borderId="26" xfId="0" applyNumberFormat="1" applyFont="1" applyFill="1" applyBorder="1" applyAlignment="1" applyProtection="1">
      <alignment horizontal="center" vertical="center"/>
      <protection locked="0"/>
    </xf>
    <xf numFmtId="0" fontId="6" fillId="10" borderId="31" xfId="0" applyFont="1" applyFill="1" applyBorder="1" applyAlignment="1" applyProtection="1">
      <alignment horizontal="center" vertical="center"/>
      <protection locked="0"/>
    </xf>
    <xf numFmtId="0" fontId="7" fillId="4" borderId="6" xfId="0" applyFont="1" applyFill="1" applyBorder="1" applyAlignment="1" applyProtection="1">
      <alignment vertical="center"/>
      <protection locked="0"/>
    </xf>
    <xf numFmtId="0" fontId="7" fillId="4" borderId="0" xfId="0" applyFont="1" applyFill="1" applyAlignment="1" applyProtection="1">
      <alignment vertical="center"/>
      <protection locked="0"/>
    </xf>
    <xf numFmtId="0" fontId="18" fillId="10" borderId="31" xfId="0" applyFont="1" applyFill="1" applyBorder="1" applyAlignment="1" applyProtection="1">
      <alignment horizontal="center" vertical="center"/>
      <protection locked="0"/>
    </xf>
    <xf numFmtId="9" fontId="6" fillId="10" borderId="28" xfId="1" applyFont="1" applyFill="1" applyBorder="1" applyAlignment="1" applyProtection="1">
      <alignment horizontal="center" vertical="center"/>
      <protection locked="0"/>
    </xf>
    <xf numFmtId="0" fontId="6" fillId="10" borderId="36" xfId="0" applyFont="1" applyFill="1" applyBorder="1" applyAlignment="1" applyProtection="1">
      <alignment horizontal="center" vertical="center"/>
      <protection locked="0"/>
    </xf>
    <xf numFmtId="0" fontId="7" fillId="4" borderId="9" xfId="0" applyFont="1" applyFill="1" applyBorder="1" applyProtection="1">
      <protection locked="0"/>
    </xf>
    <xf numFmtId="0" fontId="7" fillId="4" borderId="14" xfId="0" applyFont="1" applyFill="1" applyBorder="1" applyProtection="1">
      <protection locked="0"/>
    </xf>
    <xf numFmtId="0" fontId="7" fillId="4" borderId="8" xfId="0" applyFont="1" applyFill="1" applyBorder="1" applyProtection="1">
      <protection locked="0"/>
    </xf>
    <xf numFmtId="0" fontId="7" fillId="2" borderId="42" xfId="0" applyFont="1" applyFill="1" applyBorder="1" applyAlignment="1" applyProtection="1">
      <alignment horizontal="left" vertical="center"/>
      <protection locked="0"/>
    </xf>
    <xf numFmtId="0" fontId="7" fillId="2" borderId="42"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center" vertical="center"/>
      <protection locked="0"/>
    </xf>
    <xf numFmtId="0" fontId="6" fillId="10" borderId="45" xfId="0" applyFont="1" applyFill="1" applyBorder="1" applyAlignment="1" applyProtection="1">
      <alignment horizontal="center" vertical="center"/>
      <protection locked="0"/>
    </xf>
    <xf numFmtId="3" fontId="6" fillId="8" borderId="4" xfId="0" applyNumberFormat="1" applyFont="1" applyFill="1" applyBorder="1" applyAlignment="1" applyProtection="1">
      <alignment vertical="top" wrapText="1"/>
      <protection locked="0"/>
    </xf>
    <xf numFmtId="164" fontId="10" fillId="3" borderId="3" xfId="0" applyNumberFormat="1" applyFont="1" applyFill="1" applyBorder="1" applyAlignment="1" applyProtection="1">
      <alignment horizontal="center"/>
      <protection locked="0"/>
    </xf>
    <xf numFmtId="164" fontId="17" fillId="6" borderId="24" xfId="0" applyNumberFormat="1" applyFont="1" applyFill="1" applyBorder="1" applyAlignment="1" applyProtection="1">
      <alignment vertical="center"/>
      <protection locked="0"/>
    </xf>
    <xf numFmtId="164" fontId="17" fillId="6" borderId="22" xfId="0" applyNumberFormat="1" applyFont="1" applyFill="1" applyBorder="1" applyAlignment="1" applyProtection="1">
      <alignment vertical="center"/>
      <protection locked="0"/>
    </xf>
    <xf numFmtId="164" fontId="17" fillId="6" borderId="26" xfId="0" applyNumberFormat="1" applyFont="1" applyFill="1" applyBorder="1" applyAlignment="1" applyProtection="1">
      <alignment vertical="center"/>
      <protection locked="0"/>
    </xf>
    <xf numFmtId="164" fontId="17" fillId="6" borderId="27" xfId="0" applyNumberFormat="1" applyFont="1" applyFill="1" applyBorder="1" applyAlignment="1" applyProtection="1">
      <alignment vertical="center"/>
      <protection locked="0"/>
    </xf>
    <xf numFmtId="164" fontId="17" fillId="6" borderId="28" xfId="0" applyNumberFormat="1" applyFont="1" applyFill="1" applyBorder="1" applyAlignment="1" applyProtection="1">
      <alignment vertical="center"/>
      <protection locked="0"/>
    </xf>
    <xf numFmtId="164" fontId="9" fillId="6" borderId="28" xfId="0" applyNumberFormat="1" applyFont="1" applyFill="1" applyBorder="1" applyAlignment="1" applyProtection="1">
      <alignment vertical="center"/>
      <protection locked="0"/>
    </xf>
    <xf numFmtId="164" fontId="9" fillId="9" borderId="14" xfId="0" applyNumberFormat="1" applyFont="1" applyFill="1" applyBorder="1" applyAlignment="1" applyProtection="1">
      <alignment vertical="center"/>
      <protection locked="0"/>
    </xf>
    <xf numFmtId="164" fontId="9" fillId="6" borderId="27" xfId="0" applyNumberFormat="1" applyFont="1" applyFill="1" applyBorder="1" applyAlignment="1" applyProtection="1">
      <alignment vertical="center"/>
      <protection locked="0"/>
    </xf>
    <xf numFmtId="164" fontId="9" fillId="6" borderId="31" xfId="0" applyNumberFormat="1" applyFont="1" applyFill="1" applyBorder="1" applyAlignment="1" applyProtection="1">
      <alignment vertical="center"/>
      <protection locked="0"/>
    </xf>
    <xf numFmtId="164" fontId="20" fillId="13" borderId="11" xfId="0" applyNumberFormat="1" applyFont="1" applyFill="1" applyBorder="1" applyAlignment="1" applyProtection="1">
      <alignment horizontal="center"/>
      <protection locked="0"/>
    </xf>
    <xf numFmtId="164" fontId="10" fillId="3" borderId="3" xfId="0" applyNumberFormat="1" applyFont="1" applyFill="1" applyBorder="1" applyAlignment="1" applyProtection="1">
      <alignment vertical="center"/>
      <protection locked="0"/>
    </xf>
    <xf numFmtId="164" fontId="9" fillId="6" borderId="24" xfId="0" applyNumberFormat="1" applyFont="1" applyFill="1" applyBorder="1" applyAlignment="1" applyProtection="1">
      <alignment vertical="center"/>
      <protection locked="0"/>
    </xf>
    <xf numFmtId="164" fontId="9" fillId="6" borderId="36" xfId="0" applyNumberFormat="1" applyFont="1" applyFill="1" applyBorder="1" applyAlignment="1" applyProtection="1">
      <alignment vertical="center"/>
      <protection locked="0"/>
    </xf>
    <xf numFmtId="164" fontId="9" fillId="6" borderId="36" xfId="0" applyNumberFormat="1" applyFont="1" applyFill="1" applyBorder="1" applyAlignment="1" applyProtection="1">
      <alignment horizontal="right" vertical="center"/>
      <protection locked="0"/>
    </xf>
    <xf numFmtId="164" fontId="17" fillId="6" borderId="36" xfId="0" applyNumberFormat="1" applyFont="1" applyFill="1" applyBorder="1" applyAlignment="1" applyProtection="1">
      <alignment vertical="center"/>
      <protection locked="0"/>
    </xf>
    <xf numFmtId="164" fontId="17" fillId="6" borderId="37" xfId="0" applyNumberFormat="1" applyFont="1" applyFill="1" applyBorder="1" applyAlignment="1" applyProtection="1">
      <alignment vertical="center"/>
      <protection locked="0"/>
    </xf>
    <xf numFmtId="164" fontId="17" fillId="6" borderId="43" xfId="0" applyNumberFormat="1" applyFont="1" applyFill="1" applyBorder="1" applyAlignment="1" applyProtection="1">
      <alignment vertical="center"/>
      <protection locked="0"/>
    </xf>
    <xf numFmtId="164" fontId="9" fillId="6" borderId="46" xfId="0" applyNumberFormat="1" applyFont="1" applyFill="1" applyBorder="1" applyAlignment="1" applyProtection="1">
      <alignment vertical="center"/>
      <protection locked="0"/>
    </xf>
    <xf numFmtId="164" fontId="9" fillId="6" borderId="48" xfId="0" applyNumberFormat="1" applyFont="1" applyFill="1" applyBorder="1" applyAlignment="1" applyProtection="1">
      <alignment vertical="center"/>
      <protection locked="0"/>
    </xf>
    <xf numFmtId="164" fontId="16" fillId="0" borderId="0" xfId="0" applyNumberFormat="1" applyFont="1" applyProtection="1">
      <protection locked="0"/>
    </xf>
    <xf numFmtId="164" fontId="6" fillId="8" borderId="3" xfId="0" applyNumberFormat="1" applyFont="1" applyFill="1" applyBorder="1" applyAlignment="1" applyProtection="1">
      <alignment vertical="top" wrapText="1"/>
      <protection locked="0"/>
    </xf>
    <xf numFmtId="3" fontId="6" fillId="8" borderId="14" xfId="0" applyNumberFormat="1" applyFont="1" applyFill="1" applyBorder="1" applyAlignment="1" applyProtection="1">
      <alignment vertical="top" wrapText="1"/>
      <protection locked="0"/>
    </xf>
    <xf numFmtId="9" fontId="8" fillId="0" borderId="0" xfId="0" applyNumberFormat="1" applyFont="1" applyProtection="1">
      <protection locked="0"/>
    </xf>
    <xf numFmtId="0" fontId="0" fillId="9" borderId="0" xfId="0" applyFill="1" applyProtection="1">
      <protection locked="0"/>
    </xf>
    <xf numFmtId="3" fontId="6" fillId="9" borderId="0" xfId="0" applyNumberFormat="1" applyFont="1" applyFill="1" applyAlignment="1" applyProtection="1">
      <alignment vertical="top" wrapText="1"/>
      <protection locked="0"/>
    </xf>
    <xf numFmtId="164" fontId="6" fillId="8" borderId="8" xfId="0" applyNumberFormat="1" applyFont="1" applyFill="1" applyBorder="1" applyAlignment="1" applyProtection="1">
      <alignment vertical="top" wrapText="1"/>
      <protection locked="0"/>
    </xf>
    <xf numFmtId="0" fontId="6" fillId="8" borderId="9" xfId="0" applyFont="1" applyFill="1" applyBorder="1" applyProtection="1">
      <protection locked="0"/>
    </xf>
    <xf numFmtId="0" fontId="9" fillId="7" borderId="29" xfId="0" applyFont="1" applyFill="1" applyBorder="1" applyProtection="1">
      <protection locked="0"/>
    </xf>
    <xf numFmtId="0" fontId="9" fillId="7" borderId="32" xfId="0" applyFont="1" applyFill="1" applyBorder="1" applyProtection="1">
      <protection locked="0"/>
    </xf>
    <xf numFmtId="10" fontId="10" fillId="11" borderId="23" xfId="0" applyNumberFormat="1" applyFont="1" applyFill="1" applyBorder="1" applyAlignment="1" applyProtection="1">
      <alignment horizontal="center"/>
      <protection locked="0"/>
    </xf>
    <xf numFmtId="10" fontId="11" fillId="10" borderId="23" xfId="0" applyNumberFormat="1" applyFont="1" applyFill="1" applyBorder="1" applyAlignment="1" applyProtection="1">
      <alignment horizontal="center"/>
      <protection locked="0"/>
    </xf>
    <xf numFmtId="0" fontId="8" fillId="9" borderId="0" xfId="0" applyFont="1" applyFill="1" applyProtection="1">
      <protection locked="0"/>
    </xf>
    <xf numFmtId="0" fontId="9" fillId="7" borderId="51" xfId="0" applyFont="1" applyFill="1" applyBorder="1" applyProtection="1">
      <protection locked="0"/>
    </xf>
    <xf numFmtId="3" fontId="10" fillId="11" borderId="52" xfId="0" applyNumberFormat="1" applyFont="1" applyFill="1" applyBorder="1" applyAlignment="1" applyProtection="1">
      <alignment horizontal="center"/>
      <protection locked="0"/>
    </xf>
    <xf numFmtId="3" fontId="11" fillId="10" borderId="52" xfId="0" applyNumberFormat="1" applyFont="1" applyFill="1" applyBorder="1" applyAlignment="1" applyProtection="1">
      <alignment horizontal="center"/>
      <protection locked="0"/>
    </xf>
    <xf numFmtId="9" fontId="7" fillId="4" borderId="53" xfId="1" applyFont="1" applyFill="1" applyBorder="1" applyAlignment="1" applyProtection="1">
      <alignment horizontal="center"/>
      <protection locked="0"/>
    </xf>
    <xf numFmtId="10" fontId="10" fillId="11" borderId="25" xfId="0" applyNumberFormat="1" applyFont="1" applyFill="1" applyBorder="1" applyAlignment="1" applyProtection="1">
      <alignment horizontal="center"/>
      <protection locked="0"/>
    </xf>
    <xf numFmtId="10" fontId="11" fillId="10" borderId="25" xfId="0" applyNumberFormat="1" applyFont="1" applyFill="1" applyBorder="1" applyAlignment="1" applyProtection="1">
      <alignment horizontal="center"/>
      <protection locked="0"/>
    </xf>
    <xf numFmtId="0" fontId="7" fillId="2" borderId="20" xfId="0" applyFont="1" applyFill="1" applyBorder="1" applyAlignment="1" applyProtection="1">
      <alignment horizontal="left" vertical="center" wrapText="1"/>
      <protection locked="0"/>
    </xf>
    <xf numFmtId="0" fontId="7" fillId="2" borderId="29" xfId="0" applyFont="1" applyFill="1" applyBorder="1" applyAlignment="1" applyProtection="1">
      <alignment horizontal="left" vertical="center" wrapText="1"/>
      <protection locked="0"/>
    </xf>
    <xf numFmtId="0" fontId="7" fillId="2" borderId="25" xfId="0" applyFont="1" applyFill="1" applyBorder="1" applyAlignment="1" applyProtection="1">
      <alignment horizontal="left" vertical="center" wrapText="1"/>
      <protection locked="0"/>
    </xf>
    <xf numFmtId="0" fontId="7" fillId="2" borderId="32" xfId="0" applyFont="1" applyFill="1" applyBorder="1" applyAlignment="1" applyProtection="1">
      <alignment horizontal="left" vertical="center" wrapText="1"/>
      <protection locked="0"/>
    </xf>
    <xf numFmtId="0" fontId="7" fillId="2" borderId="23" xfId="0" applyFont="1" applyFill="1" applyBorder="1" applyAlignment="1" applyProtection="1">
      <alignment horizontal="left" vertical="center" wrapText="1"/>
      <protection locked="0"/>
    </xf>
    <xf numFmtId="0" fontId="9" fillId="7" borderId="1" xfId="0" applyFont="1" applyFill="1" applyBorder="1" applyAlignment="1" applyProtection="1">
      <alignment horizontal="center" vertical="center" wrapText="1"/>
      <protection locked="0"/>
    </xf>
    <xf numFmtId="0" fontId="9" fillId="7" borderId="7" xfId="0" applyFont="1" applyFill="1" applyBorder="1" applyAlignment="1" applyProtection="1">
      <alignment horizontal="center" vertical="center" wrapText="1"/>
      <protection locked="0"/>
    </xf>
    <xf numFmtId="0" fontId="7" fillId="2" borderId="19" xfId="0" applyFont="1" applyFill="1" applyBorder="1" applyAlignment="1" applyProtection="1">
      <alignment horizontal="left" vertical="center" wrapText="1"/>
      <protection locked="0"/>
    </xf>
    <xf numFmtId="0" fontId="7" fillId="4" borderId="9" xfId="0" applyFont="1" applyFill="1" applyBorder="1" applyAlignment="1" applyProtection="1">
      <alignment horizontal="left" vertical="center" wrapText="1"/>
      <protection locked="0"/>
    </xf>
    <xf numFmtId="0" fontId="7" fillId="4" borderId="14" xfId="0" applyFont="1" applyFill="1" applyBorder="1" applyAlignment="1" applyProtection="1">
      <alignment horizontal="left" vertical="center" wrapText="1"/>
      <protection locked="0"/>
    </xf>
    <xf numFmtId="0" fontId="21" fillId="13" borderId="12" xfId="0" applyFont="1" applyFill="1" applyBorder="1" applyAlignment="1" applyProtection="1">
      <alignment horizontal="left"/>
      <protection locked="0"/>
    </xf>
    <xf numFmtId="0" fontId="21" fillId="13" borderId="15" xfId="0" applyFont="1" applyFill="1" applyBorder="1" applyAlignment="1" applyProtection="1">
      <alignment horizontal="left"/>
      <protection locked="0"/>
    </xf>
    <xf numFmtId="0" fontId="21" fillId="13" borderId="13" xfId="0" applyFont="1" applyFill="1" applyBorder="1" applyAlignment="1" applyProtection="1">
      <alignment horizontal="left"/>
      <protection locked="0"/>
    </xf>
    <xf numFmtId="0" fontId="7" fillId="4" borderId="44" xfId="0" applyFont="1" applyFill="1" applyBorder="1" applyAlignment="1" applyProtection="1">
      <alignment horizontal="left" vertical="center" wrapText="1"/>
      <protection locked="0"/>
    </xf>
    <xf numFmtId="0" fontId="7" fillId="4" borderId="45" xfId="0" applyFont="1" applyFill="1" applyBorder="1" applyAlignment="1" applyProtection="1">
      <alignment horizontal="left" vertical="center" wrapText="1"/>
      <protection locked="0"/>
    </xf>
    <xf numFmtId="0" fontId="7" fillId="2" borderId="38" xfId="0" applyFont="1" applyFill="1" applyBorder="1" applyAlignment="1" applyProtection="1">
      <alignment horizontal="left" vertical="center" wrapText="1"/>
      <protection locked="0"/>
    </xf>
    <xf numFmtId="0" fontId="7" fillId="2" borderId="26" xfId="0" applyFont="1" applyFill="1" applyBorder="1" applyAlignment="1" applyProtection="1">
      <alignment horizontal="left" vertical="center" wrapText="1"/>
      <protection locked="0"/>
    </xf>
    <xf numFmtId="0" fontId="9" fillId="7" borderId="10"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 fillId="7" borderId="9" xfId="0" applyFont="1" applyFill="1" applyBorder="1" applyAlignment="1" applyProtection="1">
      <alignment horizontal="center" vertical="center"/>
      <protection locked="0"/>
    </xf>
    <xf numFmtId="0" fontId="7" fillId="2" borderId="9"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0" fontId="7" fillId="2" borderId="39" xfId="0" applyFont="1" applyFill="1" applyBorder="1" applyAlignment="1" applyProtection="1">
      <alignment horizontal="left" vertical="center" wrapText="1"/>
      <protection locked="0"/>
    </xf>
    <xf numFmtId="0" fontId="7" fillId="4" borderId="17" xfId="0" applyFont="1" applyFill="1" applyBorder="1" applyAlignment="1" applyProtection="1">
      <alignment horizontal="left" vertical="center" wrapText="1"/>
      <protection locked="0"/>
    </xf>
    <xf numFmtId="0" fontId="7" fillId="4" borderId="20" xfId="0" applyFont="1" applyFill="1" applyBorder="1" applyAlignment="1" applyProtection="1">
      <alignment horizontal="left" vertical="center" wrapText="1"/>
      <protection locked="0"/>
    </xf>
    <xf numFmtId="0" fontId="7" fillId="4" borderId="47" xfId="0" applyFont="1" applyFill="1" applyBorder="1" applyAlignment="1" applyProtection="1">
      <alignment horizontal="left" vertical="center" wrapText="1"/>
      <protection locked="0"/>
    </xf>
    <xf numFmtId="0" fontId="7" fillId="2" borderId="30" xfId="0" applyFont="1" applyFill="1" applyBorder="1" applyAlignment="1" applyProtection="1">
      <alignment horizontal="left" vertical="center" wrapText="1"/>
      <protection locked="0"/>
    </xf>
    <xf numFmtId="0" fontId="7" fillId="2" borderId="22" xfId="0" applyFont="1" applyFill="1" applyBorder="1" applyAlignment="1" applyProtection="1">
      <alignment horizontal="left" vertical="center" wrapText="1"/>
      <protection locked="0"/>
    </xf>
    <xf numFmtId="0" fontId="7" fillId="10" borderId="29" xfId="0" applyFont="1" applyFill="1" applyBorder="1" applyAlignment="1" applyProtection="1">
      <alignment horizontal="left" vertical="center" wrapText="1"/>
      <protection locked="0"/>
    </xf>
    <xf numFmtId="0" fontId="7" fillId="10" borderId="25" xfId="0" applyFont="1" applyFill="1" applyBorder="1" applyAlignment="1" applyProtection="1">
      <alignment horizontal="left" vertical="center" wrapText="1"/>
      <protection locked="0"/>
    </xf>
    <xf numFmtId="0" fontId="15" fillId="2" borderId="25" xfId="0" applyFont="1" applyFill="1" applyBorder="1" applyAlignment="1" applyProtection="1">
      <alignment horizontal="center" vertical="center" wrapText="1"/>
      <protection locked="0"/>
    </xf>
    <xf numFmtId="0" fontId="15" fillId="2" borderId="27" xfId="0" applyFont="1" applyFill="1" applyBorder="1" applyAlignment="1" applyProtection="1">
      <alignment horizontal="center" vertical="center" wrapText="1"/>
      <protection locked="0"/>
    </xf>
    <xf numFmtId="0" fontId="9" fillId="7" borderId="2" xfId="0" applyFont="1" applyFill="1" applyBorder="1" applyAlignment="1" applyProtection="1">
      <alignment horizontal="center" vertical="center" wrapText="1"/>
      <protection locked="0"/>
    </xf>
    <xf numFmtId="0" fontId="17" fillId="10" borderId="34" xfId="0" applyFont="1" applyFill="1" applyBorder="1" applyAlignment="1" applyProtection="1">
      <alignment horizontal="left"/>
      <protection locked="0"/>
    </xf>
    <xf numFmtId="0" fontId="17" fillId="10" borderId="40" xfId="0" applyFont="1" applyFill="1" applyBorder="1" applyAlignment="1" applyProtection="1">
      <alignment horizontal="left"/>
      <protection locked="0"/>
    </xf>
    <xf numFmtId="0" fontId="17" fillId="10" borderId="41" xfId="0" applyFont="1" applyFill="1" applyBorder="1" applyAlignment="1" applyProtection="1">
      <alignment horizontal="left"/>
      <protection locked="0"/>
    </xf>
    <xf numFmtId="0" fontId="7" fillId="4" borderId="49" xfId="0" applyFont="1" applyFill="1" applyBorder="1" applyAlignment="1" applyProtection="1">
      <alignment horizontal="left" vertical="center" wrapText="1"/>
      <protection locked="0"/>
    </xf>
    <xf numFmtId="0" fontId="7" fillId="4" borderId="42"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165" fontId="7" fillId="14" borderId="27" xfId="1" applyNumberFormat="1" applyFont="1" applyFill="1" applyBorder="1" applyAlignment="1" applyProtection="1">
      <alignment horizontal="center" vertical="center"/>
      <protection locked="0"/>
    </xf>
    <xf numFmtId="165" fontId="7" fillId="14" borderId="28" xfId="1" applyNumberFormat="1" applyFont="1" applyFill="1" applyBorder="1" applyAlignment="1" applyProtection="1">
      <alignment horizontal="center" vertical="center"/>
      <protection locked="0"/>
    </xf>
    <xf numFmtId="0" fontId="7" fillId="4" borderId="30"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2" borderId="18" xfId="0" applyFont="1" applyFill="1" applyBorder="1" applyAlignment="1" applyProtection="1">
      <alignment horizontal="left" vertical="center" wrapText="1"/>
      <protection locked="0"/>
    </xf>
    <xf numFmtId="0" fontId="7" fillId="2" borderId="21" xfId="0" applyFont="1" applyFill="1" applyBorder="1" applyAlignment="1" applyProtection="1">
      <alignment horizontal="left" vertical="center" wrapText="1"/>
      <protection locked="0"/>
    </xf>
    <xf numFmtId="0" fontId="7" fillId="2" borderId="33" xfId="0" applyFont="1" applyFill="1" applyBorder="1" applyAlignment="1" applyProtection="1">
      <alignment horizontal="left" vertical="center" wrapText="1"/>
      <protection locked="0"/>
    </xf>
    <xf numFmtId="0" fontId="15" fillId="2" borderId="19" xfId="0" applyFont="1" applyFill="1" applyBorder="1" applyAlignment="1" applyProtection="1">
      <alignment horizontal="center" vertical="center" wrapText="1"/>
      <protection locked="0"/>
    </xf>
    <xf numFmtId="0" fontId="15" fillId="2" borderId="24" xfId="0" applyFont="1" applyFill="1" applyBorder="1" applyAlignment="1" applyProtection="1">
      <alignment horizontal="center" vertical="center" wrapText="1"/>
      <protection locked="0"/>
    </xf>
    <xf numFmtId="0" fontId="9" fillId="10" borderId="19" xfId="0" applyFont="1" applyFill="1" applyBorder="1" applyAlignment="1" applyProtection="1">
      <alignment horizontal="left" vertical="center" wrapText="1"/>
      <protection locked="0"/>
    </xf>
    <xf numFmtId="0" fontId="9" fillId="7" borderId="1"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7" fillId="2" borderId="16" xfId="0" applyFont="1" applyFill="1" applyBorder="1" applyAlignment="1" applyProtection="1">
      <alignment horizontal="left" vertical="center" wrapText="1"/>
      <protection locked="0"/>
    </xf>
    <xf numFmtId="0" fontId="12" fillId="2" borderId="21" xfId="0" applyFont="1" applyFill="1" applyBorder="1" applyAlignment="1" applyProtection="1">
      <alignment horizontal="left" vertical="center" wrapText="1"/>
      <protection locked="0"/>
    </xf>
    <xf numFmtId="0" fontId="7" fillId="2" borderId="20" xfId="0" applyFont="1" applyFill="1" applyBorder="1" applyAlignment="1" applyProtection="1">
      <alignment horizontal="left" vertical="center" wrapText="1"/>
      <protection locked="0"/>
    </xf>
    <xf numFmtId="0" fontId="12" fillId="2" borderId="16" xfId="0" applyFont="1" applyFill="1" applyBorder="1" applyAlignment="1" applyProtection="1">
      <alignment horizontal="left" vertical="center" wrapText="1"/>
      <protection locked="0"/>
    </xf>
    <xf numFmtId="0" fontId="12" fillId="2" borderId="19" xfId="0" applyFont="1" applyFill="1" applyBorder="1" applyAlignment="1" applyProtection="1">
      <alignment horizontal="left" vertical="center" wrapText="1"/>
      <protection locked="0"/>
    </xf>
  </cellXfs>
  <cellStyles count="4">
    <cellStyle name="Normal" xfId="0" builtinId="0"/>
    <cellStyle name="Normal 4" xfId="2" xr:uid="{00000000-0005-0000-0000-000001000000}"/>
    <cellStyle name="Pourcentage" xfId="1" builtinId="5"/>
    <cellStyle name="Pourcentage 2" xfId="3" xr:uid="{00000000-0005-0000-0000-00000300000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46"/>
  <sheetViews>
    <sheetView showGridLines="0" tabSelected="1" zoomScaleNormal="100" workbookViewId="0">
      <pane ySplit="7" topLeftCell="A8" activePane="bottomLeft" state="frozen"/>
      <selection pane="bottomLeft" activeCell="T29" sqref="T29"/>
    </sheetView>
  </sheetViews>
  <sheetFormatPr baseColWidth="10" defaultColWidth="11.44140625" defaultRowHeight="13.8" x14ac:dyDescent="0.3"/>
  <cols>
    <col min="1" max="1" width="1.88671875" style="4" customWidth="1"/>
    <col min="2" max="2" width="2.88671875" style="4" customWidth="1"/>
    <col min="3" max="3" width="18.44140625" style="4" customWidth="1"/>
    <col min="4" max="4" width="8.6640625" style="4" customWidth="1"/>
    <col min="5" max="5" width="9.88671875" style="4" customWidth="1"/>
    <col min="6" max="6" width="13.88671875" style="4" customWidth="1"/>
    <col min="7" max="7" width="11.44140625" style="4"/>
    <col min="8" max="8" width="6.88671875" style="4" customWidth="1"/>
    <col min="9" max="10" width="11.44140625" style="4"/>
    <col min="11" max="11" width="12.5546875" style="4" customWidth="1"/>
    <col min="12" max="12" width="17.44140625" style="4" customWidth="1"/>
    <col min="13" max="13" width="8.5546875" style="4" customWidth="1"/>
    <col min="14" max="14" width="9" style="4" customWidth="1"/>
    <col min="15" max="15" width="4.88671875" style="4" customWidth="1"/>
    <col min="16" max="16" width="5.33203125" style="4" customWidth="1"/>
    <col min="17" max="17" width="18.5546875" style="4" customWidth="1"/>
    <col min="18" max="16384" width="11.44140625" style="4"/>
  </cols>
  <sheetData>
    <row r="1" spans="2:20" ht="18.600000000000001" thickBot="1" x14ac:dyDescent="0.4">
      <c r="B1" s="1"/>
      <c r="C1" s="59" t="s">
        <v>0</v>
      </c>
      <c r="D1" s="60"/>
      <c r="E1" s="59"/>
      <c r="F1" s="2"/>
      <c r="G1" s="2"/>
      <c r="H1" s="2"/>
      <c r="I1" s="2"/>
      <c r="J1" s="2"/>
      <c r="K1" s="2"/>
      <c r="L1" s="54" t="s">
        <v>1</v>
      </c>
      <c r="M1" s="2"/>
      <c r="N1" s="2"/>
      <c r="O1" s="2"/>
      <c r="P1" s="2"/>
      <c r="Q1" s="3"/>
    </row>
    <row r="2" spans="2:20" ht="6.75" customHeight="1" thickBot="1" x14ac:dyDescent="0.35">
      <c r="B2" s="5"/>
      <c r="Q2" s="6"/>
    </row>
    <row r="3" spans="2:20" ht="16.5" customHeight="1" thickBot="1" x14ac:dyDescent="0.35">
      <c r="B3" s="5"/>
      <c r="C3" s="7" t="s">
        <v>2</v>
      </c>
      <c r="D3" s="8" t="s">
        <v>3</v>
      </c>
      <c r="E3" s="9" t="s">
        <v>4</v>
      </c>
      <c r="F3" s="10" t="s">
        <v>5</v>
      </c>
      <c r="I3" s="41" t="s">
        <v>6</v>
      </c>
      <c r="J3" s="81"/>
      <c r="K3" s="103">
        <f>+N20+N42</f>
        <v>0</v>
      </c>
      <c r="M3" s="12"/>
      <c r="N3" s="42" t="s">
        <v>7</v>
      </c>
      <c r="Q3" s="6"/>
    </row>
    <row r="4" spans="2:20" ht="15" thickBot="1" x14ac:dyDescent="0.35">
      <c r="B4" s="5"/>
      <c r="C4" s="115" t="s">
        <v>8</v>
      </c>
      <c r="D4" s="116">
        <v>4000</v>
      </c>
      <c r="E4" s="117">
        <v>4000</v>
      </c>
      <c r="F4" s="118">
        <f>+(E4-D4)/D4</f>
        <v>0</v>
      </c>
      <c r="G4" s="7">
        <f>+IF(E4&lt;=8000,E4/4000*Feuil1!B14,IF(E4&gt;8000,2*Feuil1!B14+(E4-8000)/4000*Feuil1!B15))</f>
        <v>11900</v>
      </c>
      <c r="I4" s="109" t="s">
        <v>9</v>
      </c>
      <c r="J4" s="104"/>
      <c r="K4" s="108">
        <f>+K3*0.6</f>
        <v>0</v>
      </c>
      <c r="M4" s="13"/>
      <c r="N4" s="11" t="s">
        <v>10</v>
      </c>
      <c r="Q4" s="6"/>
    </row>
    <row r="5" spans="2:20" ht="14.4" x14ac:dyDescent="0.3">
      <c r="B5" s="5"/>
      <c r="C5" s="110" t="s">
        <v>11</v>
      </c>
      <c r="D5" s="119">
        <v>7.4999999999999997E-2</v>
      </c>
      <c r="E5" s="120">
        <v>7.4999999999999997E-2</v>
      </c>
      <c r="F5" s="160">
        <f>IF(G5+G6&gt;0.25,0.25,G5+G6)</f>
        <v>0</v>
      </c>
      <c r="G5" s="105">
        <f>IF(E5&lt;D5,0,E5-D5)</f>
        <v>0</v>
      </c>
      <c r="I5" s="106"/>
      <c r="J5" s="107"/>
      <c r="K5" s="107"/>
      <c r="M5" s="114"/>
      <c r="N5" s="42"/>
      <c r="Q5" s="6"/>
    </row>
    <row r="6" spans="2:20" ht="15" thickBot="1" x14ac:dyDescent="0.35">
      <c r="B6" s="5"/>
      <c r="C6" s="111" t="s">
        <v>12</v>
      </c>
      <c r="D6" s="112">
        <v>4.0000000000000001E-3</v>
      </c>
      <c r="E6" s="113">
        <v>4.0000000000000001E-3</v>
      </c>
      <c r="F6" s="161"/>
      <c r="G6" s="105">
        <f>IF(E6&lt;D6,0,E6-D6)</f>
        <v>0</v>
      </c>
      <c r="I6" s="106"/>
      <c r="J6" s="107"/>
      <c r="K6" s="107"/>
      <c r="M6" s="114"/>
      <c r="N6" s="42"/>
      <c r="Q6" s="6"/>
    </row>
    <row r="7" spans="2:20" ht="6.75" customHeight="1" thickBot="1" x14ac:dyDescent="0.35">
      <c r="B7" s="5"/>
      <c r="Q7" s="6"/>
    </row>
    <row r="8" spans="2:20" ht="16.5" customHeight="1" thickBot="1" x14ac:dyDescent="0.35">
      <c r="B8" s="5"/>
      <c r="C8" s="34" t="s">
        <v>13</v>
      </c>
      <c r="D8" s="29" t="s">
        <v>14</v>
      </c>
      <c r="E8" s="29"/>
      <c r="F8" s="29"/>
      <c r="G8" s="29"/>
      <c r="H8" s="29"/>
      <c r="I8" s="29"/>
      <c r="J8" s="29"/>
      <c r="K8" s="29"/>
      <c r="L8" s="29"/>
      <c r="M8" s="35"/>
      <c r="N8" s="82" t="s">
        <v>15</v>
      </c>
      <c r="O8" s="64" t="s">
        <v>16</v>
      </c>
      <c r="Q8" s="6"/>
    </row>
    <row r="9" spans="2:20" ht="17.25" customHeight="1" x14ac:dyDescent="0.3">
      <c r="B9" s="5"/>
      <c r="C9" s="126" t="s">
        <v>17</v>
      </c>
      <c r="D9" s="169" t="s">
        <v>52</v>
      </c>
      <c r="E9" s="169"/>
      <c r="F9" s="169"/>
      <c r="G9" s="169"/>
      <c r="H9" s="169"/>
      <c r="I9" s="169"/>
      <c r="J9" s="169"/>
      <c r="K9" s="169"/>
      <c r="L9" s="167" t="s">
        <v>19</v>
      </c>
      <c r="M9" s="168"/>
      <c r="N9" s="83" t="str">
        <f>+VLOOKUP(D9,Feuil1!A1:B4,2,FALSE)</f>
        <v xml:space="preserve"> </v>
      </c>
      <c r="O9" s="64" t="s">
        <v>16</v>
      </c>
      <c r="Q9" s="6"/>
    </row>
    <row r="10" spans="2:20" ht="17.25" customHeight="1" x14ac:dyDescent="0.3">
      <c r="B10" s="5"/>
      <c r="C10" s="153"/>
      <c r="D10" s="174" t="s">
        <v>20</v>
      </c>
      <c r="E10" s="174"/>
      <c r="F10" s="174"/>
      <c r="G10" s="174"/>
      <c r="H10" s="174"/>
      <c r="I10" s="174"/>
      <c r="J10" s="174"/>
      <c r="K10" s="121"/>
      <c r="L10" s="121"/>
      <c r="M10" s="32"/>
      <c r="N10" s="84" t="str">
        <f>+IF(M10="oui",-840,"")</f>
        <v/>
      </c>
      <c r="O10" s="64"/>
      <c r="Q10" s="6"/>
    </row>
    <row r="11" spans="2:20" ht="17.25" customHeight="1" x14ac:dyDescent="0.3">
      <c r="B11" s="5"/>
      <c r="C11" s="153"/>
      <c r="D11" s="174" t="s">
        <v>21</v>
      </c>
      <c r="E11" s="174"/>
      <c r="F11" s="174"/>
      <c r="G11" s="174"/>
      <c r="H11" s="174"/>
      <c r="I11" s="174"/>
      <c r="J11" s="174"/>
      <c r="K11" s="121"/>
      <c r="L11" s="121"/>
      <c r="M11" s="32"/>
      <c r="N11" s="84" t="str">
        <f>+IF(M11="oui",-140,"")</f>
        <v/>
      </c>
      <c r="O11" s="64"/>
      <c r="Q11" s="6"/>
    </row>
    <row r="12" spans="2:20" ht="17.25" customHeight="1" thickBot="1" x14ac:dyDescent="0.35">
      <c r="B12" s="5"/>
      <c r="C12" s="153"/>
      <c r="D12" s="77" t="s">
        <v>22</v>
      </c>
      <c r="E12" s="77"/>
      <c r="F12" s="78"/>
      <c r="G12" s="78"/>
      <c r="H12" s="78"/>
      <c r="I12" s="78"/>
      <c r="J12" s="78"/>
      <c r="K12" s="78"/>
      <c r="L12" s="78"/>
      <c r="M12" s="46"/>
      <c r="N12" s="85" t="str">
        <f>+IF(M12="oui",1500,"")</f>
        <v/>
      </c>
      <c r="O12" s="64" t="s">
        <v>16</v>
      </c>
      <c r="Q12" s="6"/>
    </row>
    <row r="13" spans="2:20" ht="17.25" customHeight="1" x14ac:dyDescent="0.3">
      <c r="B13" s="5"/>
      <c r="C13" s="153"/>
      <c r="D13" s="175" t="s">
        <v>23</v>
      </c>
      <c r="E13" s="176"/>
      <c r="F13" s="176"/>
      <c r="G13" s="176"/>
      <c r="H13" s="176"/>
      <c r="I13" s="176"/>
      <c r="J13" s="176"/>
      <c r="K13" s="176"/>
      <c r="L13" s="176"/>
      <c r="M13" s="39"/>
      <c r="N13" s="86" t="str">
        <f>+IF(M13="oui",700,"")</f>
        <v/>
      </c>
      <c r="O13" s="64" t="s">
        <v>16</v>
      </c>
      <c r="Q13" s="6"/>
    </row>
    <row r="14" spans="2:20" ht="17.25" customHeight="1" thickBot="1" x14ac:dyDescent="0.35">
      <c r="B14" s="5"/>
      <c r="C14" s="127"/>
      <c r="D14" s="74" t="s">
        <v>24</v>
      </c>
      <c r="E14" s="75"/>
      <c r="F14" s="75"/>
      <c r="G14" s="75"/>
      <c r="H14" s="75"/>
      <c r="I14" s="75"/>
      <c r="J14" s="75"/>
      <c r="K14" s="75"/>
      <c r="L14" s="75"/>
      <c r="M14" s="36"/>
      <c r="N14" s="87" t="str">
        <f>+IF(M14="oui",2450/D4*E4,"")</f>
        <v/>
      </c>
      <c r="O14" s="64" t="s">
        <v>16</v>
      </c>
      <c r="Q14" s="6"/>
    </row>
    <row r="15" spans="2:20" ht="21" customHeight="1" x14ac:dyDescent="0.3">
      <c r="B15" s="5"/>
      <c r="C15" s="126" t="s">
        <v>25</v>
      </c>
      <c r="D15" s="128" t="s">
        <v>26</v>
      </c>
      <c r="E15" s="128"/>
      <c r="F15" s="128"/>
      <c r="G15" s="128"/>
      <c r="H15" s="128"/>
      <c r="I15" s="128"/>
      <c r="J15" s="128"/>
      <c r="K15" s="128"/>
      <c r="L15" s="128"/>
      <c r="M15" s="39"/>
      <c r="N15" s="86" t="str">
        <f>+IF(M15="Oui",Feuil1!B13,"")</f>
        <v/>
      </c>
      <c r="O15" s="64" t="s">
        <v>16</v>
      </c>
      <c r="Q15" s="16"/>
      <c r="R15" s="15"/>
      <c r="S15" s="17"/>
      <c r="T15" s="15"/>
    </row>
    <row r="16" spans="2:20" ht="21" customHeight="1" thickBot="1" x14ac:dyDescent="0.35">
      <c r="B16" s="5"/>
      <c r="C16" s="127"/>
      <c r="D16" s="129" t="s">
        <v>27</v>
      </c>
      <c r="E16" s="130"/>
      <c r="F16" s="130"/>
      <c r="G16" s="130"/>
      <c r="H16" s="130"/>
      <c r="I16" s="130"/>
      <c r="J16" s="130"/>
      <c r="K16" s="130"/>
      <c r="L16" s="130"/>
      <c r="M16" s="48"/>
      <c r="N16" s="88" t="str">
        <f>+IF(M15="oui",G4,"")</f>
        <v/>
      </c>
      <c r="O16" s="64" t="s">
        <v>16</v>
      </c>
      <c r="Q16" s="18"/>
    </row>
    <row r="17" spans="2:20" ht="18" customHeight="1" x14ac:dyDescent="0.3">
      <c r="B17" s="5"/>
      <c r="C17" s="170" t="s">
        <v>28</v>
      </c>
      <c r="D17" s="172" t="s">
        <v>29</v>
      </c>
      <c r="E17" s="128"/>
      <c r="F17" s="128"/>
      <c r="G17" s="128"/>
      <c r="H17" s="128"/>
      <c r="I17" s="128"/>
      <c r="J17" s="128"/>
      <c r="K17" s="128"/>
      <c r="L17" s="128"/>
      <c r="M17" s="39"/>
      <c r="N17" s="86" t="str">
        <f>+IF(M17="oui",3500,"")</f>
        <v/>
      </c>
      <c r="O17" s="64" t="s">
        <v>16</v>
      </c>
      <c r="Q17" s="18"/>
    </row>
    <row r="18" spans="2:20" ht="17.25" customHeight="1" x14ac:dyDescent="0.3">
      <c r="B18" s="5"/>
      <c r="C18" s="171"/>
      <c r="D18" s="173" t="s">
        <v>30</v>
      </c>
      <c r="E18" s="173"/>
      <c r="F18" s="173"/>
      <c r="G18" s="173"/>
      <c r="H18" s="173"/>
      <c r="I18" s="173"/>
      <c r="J18" s="173"/>
      <c r="K18" s="173"/>
      <c r="L18" s="173"/>
      <c r="M18" s="52"/>
      <c r="N18" s="88" t="str">
        <f>+IF(M17="oui",IF(M18&lt;17,M18*Feuil1!B18,M18*Feuil1!B18+('Calculette ACI'!M18-16)*Feuil1!B19),"")</f>
        <v/>
      </c>
      <c r="O18" s="64" t="s">
        <v>16</v>
      </c>
      <c r="Q18" s="19"/>
      <c r="R18" s="15"/>
      <c r="S18" s="15"/>
      <c r="T18" s="15"/>
    </row>
    <row r="19" spans="2:20" s="23" customFormat="1" ht="13.5" customHeight="1" thickBot="1" x14ac:dyDescent="0.35">
      <c r="B19" s="20"/>
      <c r="C19" s="49"/>
      <c r="D19" s="50"/>
      <c r="E19" s="50"/>
      <c r="F19" s="50"/>
      <c r="G19" s="50"/>
      <c r="H19" s="50"/>
      <c r="I19" s="50"/>
      <c r="J19" s="50"/>
      <c r="K19" s="50"/>
      <c r="L19" s="51"/>
      <c r="M19" s="47"/>
      <c r="N19" s="89"/>
      <c r="O19" s="65"/>
      <c r="Q19" s="22"/>
      <c r="R19" s="21"/>
      <c r="S19" s="21"/>
      <c r="T19" s="21"/>
    </row>
    <row r="20" spans="2:20" ht="16.5" customHeight="1" thickBot="1" x14ac:dyDescent="0.4">
      <c r="B20" s="5"/>
      <c r="C20" s="131" t="s">
        <v>31</v>
      </c>
      <c r="D20" s="132"/>
      <c r="E20" s="132"/>
      <c r="F20" s="132"/>
      <c r="G20" s="132"/>
      <c r="H20" s="132"/>
      <c r="I20" s="132"/>
      <c r="J20" s="132"/>
      <c r="K20" s="132"/>
      <c r="L20" s="132"/>
      <c r="M20" s="133"/>
      <c r="N20" s="92">
        <f>+SUM(N9:N19)*(1+F5)</f>
        <v>0</v>
      </c>
      <c r="O20" s="64"/>
      <c r="Q20" s="6"/>
    </row>
    <row r="21" spans="2:20" s="23" customFormat="1" ht="13.5" customHeight="1" thickBot="1" x14ac:dyDescent="0.35">
      <c r="B21" s="20"/>
      <c r="C21" s="49"/>
      <c r="D21" s="50"/>
      <c r="E21" s="50"/>
      <c r="F21" s="50"/>
      <c r="G21" s="50"/>
      <c r="H21" s="50"/>
      <c r="I21" s="50"/>
      <c r="J21" s="50"/>
      <c r="K21" s="50"/>
      <c r="L21" s="51"/>
      <c r="M21" s="47"/>
      <c r="N21" s="89"/>
      <c r="O21" s="65"/>
      <c r="Q21" s="22"/>
      <c r="R21" s="21"/>
      <c r="S21" s="21"/>
      <c r="T21" s="21"/>
    </row>
    <row r="22" spans="2:20" ht="15" thickBot="1" x14ac:dyDescent="0.35">
      <c r="B22" s="5"/>
      <c r="C22" s="37" t="s">
        <v>32</v>
      </c>
      <c r="D22" s="33"/>
      <c r="E22" s="33"/>
      <c r="F22" s="33"/>
      <c r="G22" s="33"/>
      <c r="H22" s="33"/>
      <c r="I22" s="33"/>
      <c r="J22" s="33"/>
      <c r="K22" s="33"/>
      <c r="L22" s="33"/>
      <c r="M22" s="38"/>
      <c r="N22" s="93" t="s">
        <v>15</v>
      </c>
      <c r="O22" s="66"/>
      <c r="Q22" s="6"/>
    </row>
    <row r="23" spans="2:20" ht="17.25" customHeight="1" x14ac:dyDescent="0.3">
      <c r="B23" s="5"/>
      <c r="C23" s="138" t="s">
        <v>17</v>
      </c>
      <c r="D23" s="149" t="s">
        <v>58</v>
      </c>
      <c r="E23" s="150"/>
      <c r="F23" s="150"/>
      <c r="G23" s="150"/>
      <c r="H23" s="150"/>
      <c r="I23" s="150"/>
      <c r="J23" s="150"/>
      <c r="K23" s="150"/>
      <c r="L23" s="151" t="s">
        <v>19</v>
      </c>
      <c r="M23" s="152"/>
      <c r="N23" s="94" t="str">
        <f>+VLOOKUP(D23,Feuil1!A9:B11,2,FALSE)</f>
        <v xml:space="preserve"> </v>
      </c>
      <c r="O23" s="64" t="s">
        <v>16</v>
      </c>
      <c r="P23" s="24"/>
      <c r="Q23" s="25"/>
      <c r="R23" s="24"/>
      <c r="S23" s="24"/>
      <c r="T23" s="24"/>
    </row>
    <row r="24" spans="2:20" ht="15.6" x14ac:dyDescent="0.3">
      <c r="B24" s="5"/>
      <c r="C24" s="139"/>
      <c r="D24" s="147" t="s">
        <v>34</v>
      </c>
      <c r="E24" s="148"/>
      <c r="F24" s="148"/>
      <c r="G24" s="148"/>
      <c r="H24" s="148"/>
      <c r="I24" s="148"/>
      <c r="J24" s="148"/>
      <c r="K24" s="148"/>
      <c r="L24" s="148"/>
      <c r="M24" s="68"/>
      <c r="N24" s="95" t="str">
        <f>+IF(M24="2 j/mois",2100,IF(M24="2,5 j/sem",4200,""))</f>
        <v/>
      </c>
      <c r="O24" s="64" t="s">
        <v>16</v>
      </c>
      <c r="Q24" s="6"/>
      <c r="S24" s="14"/>
    </row>
    <row r="25" spans="2:20" ht="16.95" customHeight="1" x14ac:dyDescent="0.3">
      <c r="B25" s="5"/>
      <c r="C25" s="139"/>
      <c r="D25" s="69" t="s">
        <v>35</v>
      </c>
      <c r="E25" s="70"/>
      <c r="F25" s="70"/>
      <c r="G25" s="70"/>
      <c r="H25" s="70"/>
      <c r="I25" s="70"/>
      <c r="J25" s="70"/>
      <c r="K25" s="70"/>
      <c r="L25" s="70"/>
      <c r="M25" s="71"/>
      <c r="N25" s="96" t="str">
        <f>IF(M25&gt;0,+M25*2450*E4/D4,"")</f>
        <v/>
      </c>
      <c r="O25" s="64" t="s">
        <v>16</v>
      </c>
      <c r="Q25" s="43"/>
    </row>
    <row r="26" spans="2:20" ht="18.75" customHeight="1" thickBot="1" x14ac:dyDescent="0.35">
      <c r="B26" s="5"/>
      <c r="C26" s="139"/>
      <c r="D26" s="136" t="s">
        <v>36</v>
      </c>
      <c r="E26" s="137"/>
      <c r="F26" s="137"/>
      <c r="G26" s="137"/>
      <c r="H26" s="137"/>
      <c r="I26" s="137"/>
      <c r="J26" s="137"/>
      <c r="K26" s="137"/>
      <c r="L26" s="137"/>
      <c r="M26" s="68"/>
      <c r="N26" s="97" t="str">
        <f>+IF(AND(M26="oui",M25&gt;1),1400,"")</f>
        <v/>
      </c>
      <c r="O26" s="64"/>
      <c r="Q26" s="43"/>
    </row>
    <row r="27" spans="2:20" ht="15.75" customHeight="1" thickBot="1" x14ac:dyDescent="0.35">
      <c r="B27" s="5"/>
      <c r="C27" s="139"/>
      <c r="D27" s="154" t="s">
        <v>65</v>
      </c>
      <c r="E27" s="155"/>
      <c r="F27" s="155"/>
      <c r="G27" s="155"/>
      <c r="H27" s="155"/>
      <c r="I27" s="155"/>
      <c r="J27" s="156"/>
      <c r="K27" s="151" t="str">
        <f>+IF(D27=Feuil1!A28,"Nbre de questionnaire ==&gt;","&lt;==== Choisir")</f>
        <v>&lt;==== Choisir</v>
      </c>
      <c r="L27" s="152"/>
      <c r="M27" s="73"/>
      <c r="N27" s="97" t="str">
        <f>IF(D27="Pas d'implication des usagers niveau 1","",VLOOKUP(D27,Feuil1!A26:B28,2,FALSE))</f>
        <v/>
      </c>
      <c r="O27" s="64" t="s">
        <v>16</v>
      </c>
      <c r="Q27" s="6"/>
      <c r="S27" s="14"/>
    </row>
    <row r="28" spans="2:20" ht="15.75" customHeight="1" thickBot="1" x14ac:dyDescent="0.35">
      <c r="B28" s="5"/>
      <c r="C28" s="139"/>
      <c r="D28" s="74" t="s">
        <v>37</v>
      </c>
      <c r="E28" s="75"/>
      <c r="F28" s="75"/>
      <c r="G28" s="75"/>
      <c r="H28" s="75"/>
      <c r="I28" s="75"/>
      <c r="J28" s="75"/>
      <c r="K28" s="75"/>
      <c r="L28" s="76"/>
      <c r="M28" s="73"/>
      <c r="N28" s="97" t="str">
        <f>+IF(M28="oui",2100*E4/D4,"")</f>
        <v/>
      </c>
      <c r="O28" s="64" t="s">
        <v>16</v>
      </c>
      <c r="Q28" s="6"/>
      <c r="S28" s="14"/>
    </row>
    <row r="29" spans="2:20" ht="15.75" customHeight="1" thickBot="1" x14ac:dyDescent="0.35">
      <c r="B29" s="5"/>
      <c r="C29" s="140"/>
      <c r="D29" s="141" t="s">
        <v>38</v>
      </c>
      <c r="E29" s="142"/>
      <c r="F29" s="142"/>
      <c r="G29" s="142"/>
      <c r="H29" s="142"/>
      <c r="I29" s="142"/>
      <c r="J29" s="142"/>
      <c r="K29" s="142"/>
      <c r="L29" s="143"/>
      <c r="M29" s="72"/>
      <c r="N29" s="98" t="str">
        <f>IF(M29="","",1400*M29)</f>
        <v/>
      </c>
      <c r="O29" s="64" t="s">
        <v>16</v>
      </c>
      <c r="Q29" s="6"/>
      <c r="S29" s="14"/>
    </row>
    <row r="30" spans="2:20" ht="21" customHeight="1" x14ac:dyDescent="0.3">
      <c r="B30" s="5"/>
      <c r="C30" s="126" t="s">
        <v>25</v>
      </c>
      <c r="D30" s="122" t="s">
        <v>39</v>
      </c>
      <c r="E30" s="123"/>
      <c r="F30" s="123"/>
      <c r="G30" s="123"/>
      <c r="H30" s="123"/>
      <c r="I30" s="123"/>
      <c r="J30" s="123"/>
      <c r="K30" s="123"/>
      <c r="L30" s="56"/>
      <c r="M30" s="40"/>
      <c r="N30" s="90" t="str">
        <f>IF(M30="","",+M30*700)</f>
        <v/>
      </c>
      <c r="O30" s="64" t="s">
        <v>16</v>
      </c>
      <c r="Q30" s="16"/>
      <c r="R30" s="15"/>
      <c r="S30" s="17"/>
      <c r="T30" s="15"/>
    </row>
    <row r="31" spans="2:20" ht="42" customHeight="1" x14ac:dyDescent="0.3">
      <c r="B31" s="5"/>
      <c r="C31" s="153"/>
      <c r="D31" s="162" t="s">
        <v>40</v>
      </c>
      <c r="E31" s="163"/>
      <c r="F31" s="163"/>
      <c r="G31" s="163"/>
      <c r="H31" s="163"/>
      <c r="I31" s="163"/>
      <c r="J31" s="163"/>
      <c r="K31" s="55" t="s">
        <v>41</v>
      </c>
      <c r="L31" s="55" t="str">
        <f>+IF(M31="","",+ROUND(E18*0.164+E18*0.093/2,0)&amp;" patients, soit "&amp;+ROUND((E18*0.164+E18*0.093/2)*M31,0)&amp;" dossiers")</f>
        <v/>
      </c>
      <c r="M31" s="67"/>
      <c r="N31" s="91" t="str">
        <f>+IF(M31="","",IF(M31&lt;0.05,M31/0.05*7000*(1+F18),7000*(1+F18)))</f>
        <v/>
      </c>
      <c r="O31" s="64" t="s">
        <v>16</v>
      </c>
      <c r="Q31" s="18"/>
    </row>
    <row r="32" spans="2:20" ht="17.25" customHeight="1" thickBot="1" x14ac:dyDescent="0.35">
      <c r="B32" s="5"/>
      <c r="C32" s="153"/>
      <c r="D32" s="164" t="s">
        <v>42</v>
      </c>
      <c r="E32" s="165"/>
      <c r="F32" s="165"/>
      <c r="G32" s="165"/>
      <c r="H32" s="165"/>
      <c r="I32" s="165"/>
      <c r="J32" s="165"/>
      <c r="K32" s="165"/>
      <c r="L32" s="166"/>
      <c r="M32" s="36"/>
      <c r="N32" s="88" t="str">
        <f>+IF(M32="oui",M30*280 +IF(M31&lt;0.05,M31/0.05*1400*(1+F18),1400*(1+F18)),"")</f>
        <v/>
      </c>
      <c r="O32" s="64" t="s">
        <v>16</v>
      </c>
      <c r="Q32" s="19"/>
      <c r="R32" s="15"/>
      <c r="S32" s="15"/>
      <c r="T32" s="15"/>
    </row>
    <row r="33" spans="2:17" ht="15.75" customHeight="1" x14ac:dyDescent="0.3">
      <c r="B33" s="5"/>
      <c r="C33" s="153"/>
      <c r="D33" s="122" t="s">
        <v>43</v>
      </c>
      <c r="E33" s="123"/>
      <c r="F33" s="123"/>
      <c r="G33" s="123"/>
      <c r="H33" s="123"/>
      <c r="I33" s="123"/>
      <c r="J33" s="123"/>
      <c r="K33" s="123"/>
      <c r="L33" s="123"/>
      <c r="M33" s="39"/>
      <c r="N33" s="90" t="str">
        <f>+IF(M33="","",M33*1575)</f>
        <v/>
      </c>
      <c r="O33" s="64" t="s">
        <v>16</v>
      </c>
      <c r="Q33" s="44"/>
    </row>
    <row r="34" spans="2:17" ht="15.75" customHeight="1" thickBot="1" x14ac:dyDescent="0.35">
      <c r="B34" s="5"/>
      <c r="C34" s="153"/>
      <c r="D34" s="124" t="s">
        <v>44</v>
      </c>
      <c r="E34" s="125"/>
      <c r="F34" s="125"/>
      <c r="G34" s="125"/>
      <c r="H34" s="125"/>
      <c r="I34" s="125"/>
      <c r="J34" s="125"/>
      <c r="K34" s="125"/>
      <c r="L34" s="125"/>
      <c r="M34" s="79"/>
      <c r="N34" s="99" t="str">
        <f>+IF(M34="oui",450,"")</f>
        <v/>
      </c>
      <c r="O34" s="64"/>
      <c r="Q34" s="44"/>
    </row>
    <row r="35" spans="2:17" ht="16.5" customHeight="1" thickBot="1" x14ac:dyDescent="0.35">
      <c r="B35" s="5"/>
      <c r="C35" s="153"/>
      <c r="D35" s="134" t="s">
        <v>45</v>
      </c>
      <c r="E35" s="135"/>
      <c r="F35" s="135"/>
      <c r="G35" s="135"/>
      <c r="H35" s="135"/>
      <c r="I35" s="135"/>
      <c r="J35" s="135"/>
      <c r="K35" s="135"/>
      <c r="L35" s="135"/>
      <c r="M35" s="80"/>
      <c r="N35" s="100" t="str">
        <f>+IF(M35="Oui",1400*(1+F4),"")</f>
        <v/>
      </c>
      <c r="O35" s="64" t="s">
        <v>16</v>
      </c>
      <c r="Q35" s="44"/>
    </row>
    <row r="36" spans="2:17" ht="16.5" customHeight="1" x14ac:dyDescent="0.3">
      <c r="B36" s="5"/>
      <c r="C36" s="153"/>
      <c r="D36" s="122" t="s">
        <v>46</v>
      </c>
      <c r="E36" s="123"/>
      <c r="F36" s="123"/>
      <c r="G36" s="123"/>
      <c r="H36" s="123"/>
      <c r="I36" s="123"/>
      <c r="J36" s="123"/>
      <c r="K36" s="123"/>
      <c r="L36" s="123"/>
      <c r="M36" s="39"/>
      <c r="N36" s="90" t="str">
        <f>+IF(M36="oui",700,"")</f>
        <v/>
      </c>
      <c r="O36" s="64" t="s">
        <v>16</v>
      </c>
      <c r="Q36" s="44"/>
    </row>
    <row r="37" spans="2:17" ht="16.5" customHeight="1" x14ac:dyDescent="0.3">
      <c r="B37" s="5"/>
      <c r="C37" s="153"/>
      <c r="D37" s="144" t="s">
        <v>47</v>
      </c>
      <c r="E37" s="145"/>
      <c r="F37" s="145"/>
      <c r="G37" s="145"/>
      <c r="H37" s="145"/>
      <c r="I37" s="145"/>
      <c r="J37" s="145"/>
      <c r="K37" s="145"/>
      <c r="L37" s="146"/>
      <c r="M37" s="32"/>
      <c r="N37" s="91" t="str">
        <f>+IF(M37="oui",1400*$E$4/$D$4,"")</f>
        <v/>
      </c>
      <c r="O37" s="64"/>
      <c r="Q37" s="44"/>
    </row>
    <row r="38" spans="2:17" ht="16.5" customHeight="1" thickBot="1" x14ac:dyDescent="0.35">
      <c r="B38" s="5"/>
      <c r="C38" s="153"/>
      <c r="D38" s="157" t="s">
        <v>48</v>
      </c>
      <c r="E38" s="158"/>
      <c r="F38" s="158"/>
      <c r="G38" s="158"/>
      <c r="H38" s="158"/>
      <c r="I38" s="158"/>
      <c r="J38" s="158"/>
      <c r="K38" s="158"/>
      <c r="L38" s="159"/>
      <c r="M38" s="46"/>
      <c r="N38" s="101" t="str">
        <f>+IF(M38="oui",2100*$E$4/$D$4,"")</f>
        <v/>
      </c>
      <c r="O38" s="64"/>
      <c r="Q38" s="44"/>
    </row>
    <row r="39" spans="2:17" ht="16.5" customHeight="1" x14ac:dyDescent="0.3">
      <c r="B39" s="5"/>
      <c r="C39" s="153"/>
      <c r="D39" s="122" t="s">
        <v>49</v>
      </c>
      <c r="E39" s="123"/>
      <c r="F39" s="123"/>
      <c r="G39" s="123"/>
      <c r="H39" s="123"/>
      <c r="I39" s="123"/>
      <c r="J39" s="123"/>
      <c r="K39" s="123"/>
      <c r="L39" s="123"/>
      <c r="M39" s="39"/>
      <c r="N39" s="90" t="str">
        <f>+IF(M39="oui",850,"")</f>
        <v/>
      </c>
      <c r="O39" s="64" t="s">
        <v>16</v>
      </c>
      <c r="Q39" s="44"/>
    </row>
    <row r="40" spans="2:17" ht="16.5" customHeight="1" thickBot="1" x14ac:dyDescent="0.35">
      <c r="B40" s="5"/>
      <c r="C40" s="127"/>
      <c r="D40" s="124" t="s">
        <v>50</v>
      </c>
      <c r="E40" s="125"/>
      <c r="F40" s="125"/>
      <c r="G40" s="125"/>
      <c r="H40" s="125"/>
      <c r="I40" s="125"/>
      <c r="J40" s="125"/>
      <c r="K40" s="125"/>
      <c r="L40" s="125"/>
      <c r="M40" s="36"/>
      <c r="N40" s="88" t="str">
        <f>+IF(M40="oui",1650,"")</f>
        <v/>
      </c>
      <c r="O40" s="64" t="s">
        <v>16</v>
      </c>
      <c r="Q40" s="44"/>
    </row>
    <row r="41" spans="2:17" ht="12.75" customHeight="1" thickBot="1" x14ac:dyDescent="0.35">
      <c r="B41" s="5"/>
      <c r="C41" s="57"/>
      <c r="D41" s="57"/>
      <c r="E41" s="57"/>
      <c r="F41" s="57"/>
      <c r="G41" s="57"/>
      <c r="H41" s="57"/>
      <c r="I41" s="57"/>
      <c r="J41" s="57"/>
      <c r="K41" s="57"/>
      <c r="L41" s="57"/>
      <c r="M41" s="58"/>
      <c r="N41" s="102"/>
      <c r="Q41" s="6"/>
    </row>
    <row r="42" spans="2:17" ht="16.5" customHeight="1" thickBot="1" x14ac:dyDescent="0.4">
      <c r="B42" s="5"/>
      <c r="C42" s="131" t="s">
        <v>51</v>
      </c>
      <c r="D42" s="132"/>
      <c r="E42" s="132"/>
      <c r="F42" s="132"/>
      <c r="G42" s="132"/>
      <c r="H42" s="132"/>
      <c r="I42" s="132"/>
      <c r="J42" s="132"/>
      <c r="K42" s="132"/>
      <c r="L42" s="132"/>
      <c r="M42" s="133"/>
      <c r="N42" s="92">
        <f>+SUM(N23:N40)*(1+F5)</f>
        <v>0</v>
      </c>
      <c r="O42" s="45"/>
      <c r="Q42" s="6"/>
    </row>
    <row r="43" spans="2:17" ht="11.25" customHeight="1" thickBot="1" x14ac:dyDescent="0.35">
      <c r="B43" s="26"/>
      <c r="C43" s="27"/>
      <c r="D43" s="27"/>
      <c r="E43" s="27"/>
      <c r="F43" s="27"/>
      <c r="G43" s="27"/>
      <c r="H43" s="27"/>
      <c r="I43" s="27"/>
      <c r="J43" s="27"/>
      <c r="K43" s="27"/>
      <c r="L43" s="27"/>
      <c r="M43" s="27"/>
      <c r="N43" s="27"/>
      <c r="O43" s="27"/>
      <c r="P43" s="27"/>
      <c r="Q43" s="28"/>
    </row>
    <row r="46" spans="2:17" x14ac:dyDescent="0.3">
      <c r="N46" s="14"/>
    </row>
  </sheetData>
  <sheetProtection selectLockedCells="1"/>
  <mergeCells count="38">
    <mergeCell ref="F5:F6"/>
    <mergeCell ref="D30:K30"/>
    <mergeCell ref="D31:J31"/>
    <mergeCell ref="D32:L32"/>
    <mergeCell ref="C20:M20"/>
    <mergeCell ref="L9:M9"/>
    <mergeCell ref="D9:K9"/>
    <mergeCell ref="C17:C18"/>
    <mergeCell ref="D17:J17"/>
    <mergeCell ref="K17:L17"/>
    <mergeCell ref="D18:J18"/>
    <mergeCell ref="K18:L18"/>
    <mergeCell ref="D10:J10"/>
    <mergeCell ref="C9:C14"/>
    <mergeCell ref="D11:J11"/>
    <mergeCell ref="D13:L13"/>
    <mergeCell ref="C42:M42"/>
    <mergeCell ref="D33:L33"/>
    <mergeCell ref="D35:L35"/>
    <mergeCell ref="D26:L26"/>
    <mergeCell ref="C23:C29"/>
    <mergeCell ref="D29:L29"/>
    <mergeCell ref="D34:L34"/>
    <mergeCell ref="D36:L36"/>
    <mergeCell ref="D37:L37"/>
    <mergeCell ref="D24:L24"/>
    <mergeCell ref="D23:K23"/>
    <mergeCell ref="L23:M23"/>
    <mergeCell ref="C30:C40"/>
    <mergeCell ref="K27:L27"/>
    <mergeCell ref="D27:J27"/>
    <mergeCell ref="D38:L38"/>
    <mergeCell ref="D39:L39"/>
    <mergeCell ref="D40:L40"/>
    <mergeCell ref="C15:C16"/>
    <mergeCell ref="D15:J15"/>
    <mergeCell ref="K15:L15"/>
    <mergeCell ref="D16:L16"/>
  </mergeCells>
  <dataValidations count="9">
    <dataValidation type="list" showDropDown="1" showInputMessage="1" showErrorMessage="1" error="Mettre &quot;x&quot; ou rien" sqref="M19" xr:uid="{00000000-0002-0000-0000-000000000000}">
      <formula1>$C$3</formula1>
    </dataValidation>
    <dataValidation type="decimal" showDropDown="1" showInputMessage="1" showErrorMessage="1" error="Taux plein 5%" sqref="M16 M31" xr:uid="{00000000-0002-0000-0000-000001000000}">
      <formula1>0</formula1>
      <formula2>0.5</formula2>
    </dataValidation>
    <dataValidation type="list" allowBlank="1" showInputMessage="1" showErrorMessage="1" sqref="M10:M15 M17 M26 M28 M34:M40 M32" xr:uid="{00000000-0002-0000-0000-000002000000}">
      <formula1>"Oui,Non"</formula1>
    </dataValidation>
    <dataValidation type="list" showInputMessage="1" showErrorMessage="1" error="Mettre &quot;x&quot; ou rien" sqref="M24" xr:uid="{00000000-0002-0000-0000-000003000000}">
      <mc:AlternateContent xmlns:x12ac="http://schemas.microsoft.com/office/spreadsheetml/2011/1/ac" xmlns:mc="http://schemas.openxmlformats.org/markup-compatibility/2006">
        <mc:Choice Requires="x12ac">
          <x12ac:list>Non,2 j/mois,"2,5 j/sem"</x12ac:list>
        </mc:Choice>
        <mc:Fallback>
          <formula1>"Non,2 j/mois,2,5 j/sem"</formula1>
        </mc:Fallback>
      </mc:AlternateContent>
    </dataValidation>
    <dataValidation type="whole" allowBlank="1" showInputMessage="1" showErrorMessage="1" errorTitle="Erreur" error="Inscrire un chiffre_x000a_Maximum 8 protocoles" sqref="M30" xr:uid="{00000000-0002-0000-0000-000004000000}">
      <formula1>0</formula1>
      <formula2>8</formula2>
    </dataValidation>
    <dataValidation type="list" operator="lessThanOrEqual" allowBlank="1" showInputMessage="1" showErrorMessage="1" error="Maximum 2" sqref="M25" xr:uid="{00000000-0002-0000-0000-000005000000}">
      <formula1>"0,1,2"</formula1>
    </dataValidation>
    <dataValidation type="list" allowBlank="1" showInputMessage="1" showErrorMessage="1" sqref="M29" xr:uid="{00000000-0002-0000-0000-000006000000}">
      <formula1>"50%,100%"</formula1>
    </dataValidation>
    <dataValidation type="list" allowBlank="1" showInputMessage="1" showErrorMessage="1" error="Choisir le nombre" sqref="M33" xr:uid="{00000000-0002-0000-0000-000007000000}">
      <formula1>"2,3,4"</formula1>
    </dataValidation>
    <dataValidation type="whole" allowBlank="1" showInputMessage="1" showErrorMessage="1" error="Pas plus de 214 financés" sqref="M27" xr:uid="{BCE8E3B2-30D1-4CEA-8FF3-F307BFA5800D}">
      <formula1>0</formula1>
      <formula2>214</formula2>
    </dataValidation>
  </dataValidations>
  <pageMargins left="0.7" right="0.7" top="0.75" bottom="0.75" header="0.3" footer="0.3"/>
  <pageSetup paperSize="9" scale="47"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9000000}">
          <x14:formula1>
            <xm:f>Feuil1!$A$9:$A$11</xm:f>
          </x14:formula1>
          <xm:sqref>D23:K23</xm:sqref>
        </x14:dataValidation>
        <x14:dataValidation type="list" allowBlank="1" showInputMessage="1" showErrorMessage="1" xr:uid="{00000000-0002-0000-0000-00000A000000}">
          <x14:formula1>
            <xm:f>Feuil1!$A$1:$A$4</xm:f>
          </x14:formula1>
          <xm:sqref>D9:K9</xm:sqref>
        </x14:dataValidation>
        <x14:dataValidation type="list" allowBlank="1" showInputMessage="1" showErrorMessage="1" xr:uid="{167E77FF-FB06-4F96-9122-DB3431439ACF}">
          <x14:formula1>
            <xm:f>Feuil1!$A$26:$A$28</xm:f>
          </x14:formula1>
          <xm:sqref>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topLeftCell="A7" workbookViewId="0">
      <selection activeCell="B7" sqref="B7"/>
    </sheetView>
  </sheetViews>
  <sheetFormatPr baseColWidth="10" defaultColWidth="11.44140625" defaultRowHeight="14.4" x14ac:dyDescent="0.3"/>
  <cols>
    <col min="1" max="1" width="94.88671875" customWidth="1"/>
  </cols>
  <sheetData>
    <row r="1" spans="1:4" x14ac:dyDescent="0.3">
      <c r="A1" t="s">
        <v>52</v>
      </c>
      <c r="B1" t="s">
        <v>53</v>
      </c>
    </row>
    <row r="2" spans="1:4" x14ac:dyDescent="0.3">
      <c r="A2" t="s">
        <v>18</v>
      </c>
      <c r="B2">
        <v>4100</v>
      </c>
    </row>
    <row r="3" spans="1:4" x14ac:dyDescent="0.3">
      <c r="A3" t="s">
        <v>54</v>
      </c>
      <c r="B3">
        <f>+B2-420</f>
        <v>3680</v>
      </c>
    </row>
    <row r="4" spans="1:4" x14ac:dyDescent="0.3">
      <c r="A4" t="s">
        <v>55</v>
      </c>
      <c r="B4">
        <f>+B2-1050</f>
        <v>3050</v>
      </c>
    </row>
    <row r="6" spans="1:4" x14ac:dyDescent="0.3">
      <c r="A6" t="s">
        <v>56</v>
      </c>
      <c r="B6">
        <v>-840</v>
      </c>
    </row>
    <row r="7" spans="1:4" x14ac:dyDescent="0.3">
      <c r="A7" t="s">
        <v>57</v>
      </c>
      <c r="B7">
        <v>-140</v>
      </c>
    </row>
    <row r="9" spans="1:4" x14ac:dyDescent="0.3">
      <c r="A9" t="s">
        <v>58</v>
      </c>
      <c r="B9" t="s">
        <v>53</v>
      </c>
    </row>
    <row r="10" spans="1:4" x14ac:dyDescent="0.3">
      <c r="A10" t="s">
        <v>59</v>
      </c>
      <c r="B10">
        <v>2100</v>
      </c>
    </row>
    <row r="11" spans="1:4" x14ac:dyDescent="0.3">
      <c r="A11" t="s">
        <v>33</v>
      </c>
      <c r="B11">
        <v>4200</v>
      </c>
    </row>
    <row r="13" spans="1:4" x14ac:dyDescent="0.3">
      <c r="A13" t="s">
        <v>60</v>
      </c>
      <c r="B13" s="31">
        <v>7000</v>
      </c>
      <c r="D13" s="30"/>
    </row>
    <row r="14" spans="1:4" x14ac:dyDescent="0.3">
      <c r="A14" s="53" t="s">
        <v>61</v>
      </c>
      <c r="B14">
        <v>11900</v>
      </c>
      <c r="D14" s="30"/>
    </row>
    <row r="15" spans="1:4" x14ac:dyDescent="0.3">
      <c r="A15" s="53" t="s">
        <v>62</v>
      </c>
      <c r="B15">
        <v>7700</v>
      </c>
      <c r="D15" s="30"/>
    </row>
    <row r="16" spans="1:4" x14ac:dyDescent="0.3">
      <c r="A16" s="30"/>
    </row>
    <row r="17" spans="1:2" x14ac:dyDescent="0.3">
      <c r="A17" t="s">
        <v>63</v>
      </c>
      <c r="B17" s="31">
        <v>3500</v>
      </c>
    </row>
    <row r="18" spans="1:2" x14ac:dyDescent="0.3">
      <c r="A18" s="53" t="s">
        <v>61</v>
      </c>
      <c r="B18">
        <v>1400</v>
      </c>
    </row>
    <row r="19" spans="1:2" x14ac:dyDescent="0.3">
      <c r="A19" s="53" t="s">
        <v>62</v>
      </c>
      <c r="B19">
        <v>1050</v>
      </c>
    </row>
    <row r="20" spans="1:2" x14ac:dyDescent="0.3">
      <c r="A20" s="53"/>
    </row>
    <row r="21" spans="1:2" x14ac:dyDescent="0.3">
      <c r="A21" s="62" t="s">
        <v>64</v>
      </c>
      <c r="B21" t="s">
        <v>53</v>
      </c>
    </row>
    <row r="22" spans="1:2" x14ac:dyDescent="0.3">
      <c r="A22" s="61" t="s">
        <v>46</v>
      </c>
      <c r="B22">
        <v>700</v>
      </c>
    </row>
    <row r="23" spans="1:2" x14ac:dyDescent="0.3">
      <c r="A23" s="62" t="s">
        <v>47</v>
      </c>
      <c r="B23">
        <v>1400</v>
      </c>
    </row>
    <row r="24" spans="1:2" x14ac:dyDescent="0.3">
      <c r="A24" s="63" t="s">
        <v>48</v>
      </c>
      <c r="B24">
        <v>2100</v>
      </c>
    </row>
    <row r="26" spans="1:2" x14ac:dyDescent="0.3">
      <c r="A26" t="s">
        <v>65</v>
      </c>
    </row>
    <row r="27" spans="1:2" x14ac:dyDescent="0.3">
      <c r="A27" t="s">
        <v>66</v>
      </c>
      <c r="B27">
        <v>1000</v>
      </c>
    </row>
    <row r="28" spans="1:2" x14ac:dyDescent="0.3">
      <c r="A28" t="s">
        <v>67</v>
      </c>
      <c r="B28">
        <f>1000+7*'Calculette ACI'!M27</f>
        <v>1000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Calculette ACI</vt:lpstr>
      <vt:lpstr>Feuil1</vt:lpstr>
      <vt:lpstr>'Calculette ACI'!Zone_d_impression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dc:creator>
  <cp:keywords/>
  <dc:description/>
  <cp:lastModifiedBy>Martin REVILLION</cp:lastModifiedBy>
  <cp:revision/>
  <dcterms:created xsi:type="dcterms:W3CDTF">2015-03-02T16:42:26Z</dcterms:created>
  <dcterms:modified xsi:type="dcterms:W3CDTF">2026-07-01T08:35:27Z</dcterms:modified>
  <cp:category/>
  <cp:contentStatus/>
</cp:coreProperties>
</file>